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\\basic\Общая-Фонд\ЦПП\Договоры\2021\Мероприятия\Деловая среда\Маркетплейс\"/>
    </mc:Choice>
  </mc:AlternateContent>
  <xr:revisionPtr revIDLastSave="0" documentId="8_{2F0EEC75-E471-494F-A55F-7510B26A1D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ограмма" sheetId="1" r:id="rId1"/>
    <sheet name="Темы" sheetId="2" state="hidden" r:id="rId2"/>
    <sheet name="Спикеры" sheetId="3" state="hidden" r:id="rId3"/>
  </sheets>
  <calcPr calcId="191029"/>
</workbook>
</file>

<file path=xl/calcChain.xml><?xml version="1.0" encoding="utf-8"?>
<calcChain xmlns="http://schemas.openxmlformats.org/spreadsheetml/2006/main">
  <c r="C402" i="3" l="1"/>
  <c r="B402" i="3"/>
  <c r="B401" i="3"/>
  <c r="B400" i="3"/>
  <c r="B399" i="3"/>
  <c r="B398" i="3"/>
  <c r="C397" i="3"/>
  <c r="B397" i="3"/>
  <c r="C396" i="3"/>
  <c r="B396" i="3"/>
  <c r="C395" i="3"/>
  <c r="B395" i="3"/>
  <c r="C394" i="3"/>
  <c r="B394" i="3"/>
  <c r="C393" i="3"/>
  <c r="B393" i="3"/>
  <c r="C392" i="3"/>
  <c r="B392" i="3"/>
  <c r="C391" i="3"/>
  <c r="B391" i="3"/>
  <c r="C353" i="3"/>
  <c r="B353" i="3"/>
  <c r="C352" i="3"/>
  <c r="B352" i="3"/>
  <c r="C351" i="3"/>
  <c r="B351" i="3"/>
  <c r="C350" i="3"/>
  <c r="B350" i="3"/>
  <c r="C349" i="3"/>
  <c r="B349" i="3"/>
  <c r="C348" i="3"/>
  <c r="B348" i="3"/>
  <c r="C347" i="3"/>
  <c r="B347" i="3"/>
  <c r="C346" i="3"/>
  <c r="B346" i="3"/>
  <c r="C345" i="3"/>
  <c r="B345" i="3"/>
  <c r="C344" i="3"/>
  <c r="B344" i="3"/>
  <c r="C343" i="3"/>
  <c r="B343" i="3"/>
  <c r="C342" i="3"/>
  <c r="B342" i="3"/>
  <c r="C341" i="3"/>
  <c r="B341" i="3"/>
  <c r="C340" i="3"/>
  <c r="B340" i="3"/>
  <c r="C339" i="3"/>
  <c r="B339" i="3"/>
  <c r="C338" i="3"/>
  <c r="B338" i="3"/>
  <c r="C337" i="3"/>
  <c r="B337" i="3"/>
  <c r="C336" i="3"/>
  <c r="B336" i="3"/>
  <c r="C335" i="3"/>
  <c r="B335" i="3"/>
  <c r="C334" i="3"/>
  <c r="B334" i="3"/>
  <c r="C333" i="3"/>
  <c r="B333" i="3"/>
  <c r="C332" i="3"/>
  <c r="B332" i="3"/>
  <c r="B331" i="3"/>
  <c r="C330" i="3"/>
  <c r="B330" i="3"/>
  <c r="C329" i="3"/>
  <c r="B329" i="3"/>
  <c r="C328" i="3"/>
  <c r="B328" i="3"/>
  <c r="C327" i="3"/>
  <c r="B327" i="3"/>
  <c r="C326" i="3"/>
  <c r="B326" i="3"/>
  <c r="C325" i="3"/>
  <c r="B325" i="3"/>
  <c r="C324" i="3"/>
  <c r="B324" i="3"/>
  <c r="C266" i="3"/>
  <c r="B266" i="3"/>
  <c r="C265" i="3"/>
  <c r="B265" i="3"/>
  <c r="C264" i="3"/>
  <c r="B264" i="3"/>
  <c r="C263" i="3"/>
  <c r="B263" i="3"/>
  <c r="C262" i="3"/>
  <c r="B262" i="3"/>
  <c r="C261" i="3"/>
  <c r="B261" i="3"/>
  <c r="C260" i="3"/>
  <c r="B260" i="3"/>
  <c r="C259" i="3"/>
  <c r="B259" i="3"/>
  <c r="C258" i="3"/>
  <c r="B258" i="3"/>
  <c r="B257" i="3"/>
  <c r="C256" i="3"/>
  <c r="B256" i="3"/>
  <c r="C255" i="3"/>
  <c r="B255" i="3"/>
  <c r="C254" i="3"/>
  <c r="B254" i="3"/>
  <c r="B253" i="3"/>
  <c r="C252" i="3"/>
  <c r="B252" i="3"/>
  <c r="C251" i="3"/>
  <c r="B251" i="3"/>
  <c r="C250" i="3"/>
  <c r="B250" i="3"/>
  <c r="C249" i="3"/>
  <c r="B249" i="3"/>
  <c r="C248" i="3"/>
  <c r="B248" i="3"/>
  <c r="C247" i="3"/>
  <c r="B247" i="3"/>
  <c r="C246" i="3"/>
  <c r="B246" i="3"/>
  <c r="C245" i="3"/>
  <c r="B245" i="3"/>
  <c r="C244" i="3"/>
  <c r="B244" i="3"/>
  <c r="C243" i="3"/>
  <c r="B243" i="3"/>
  <c r="C242" i="3"/>
  <c r="B242" i="3"/>
  <c r="C241" i="3"/>
  <c r="B241" i="3"/>
  <c r="C240" i="3"/>
  <c r="B240" i="3"/>
  <c r="C239" i="3"/>
  <c r="B239" i="3"/>
  <c r="C238" i="3"/>
  <c r="B238" i="3"/>
  <c r="C237" i="3"/>
  <c r="B237" i="3"/>
  <c r="C236" i="3"/>
  <c r="B236" i="3"/>
  <c r="C235" i="3"/>
  <c r="B235" i="3"/>
  <c r="C234" i="3"/>
  <c r="B234" i="3"/>
  <c r="B233" i="3"/>
  <c r="B232" i="3"/>
  <c r="C231" i="3"/>
  <c r="B231" i="3"/>
  <c r="C230" i="3"/>
  <c r="B230" i="3"/>
  <c r="C229" i="3"/>
  <c r="B229" i="3"/>
  <c r="C228" i="3"/>
  <c r="B228" i="3"/>
  <c r="C227" i="3"/>
  <c r="B227" i="3"/>
  <c r="C226" i="3"/>
  <c r="B226" i="3"/>
  <c r="C225" i="3"/>
  <c r="B225" i="3"/>
  <c r="B224" i="3"/>
  <c r="B223" i="3"/>
  <c r="C222" i="3"/>
  <c r="B222" i="3"/>
  <c r="C221" i="3"/>
  <c r="B221" i="3"/>
  <c r="C220" i="3"/>
  <c r="B220" i="3"/>
  <c r="C219" i="3"/>
  <c r="B219" i="3"/>
  <c r="C218" i="3"/>
  <c r="B218" i="3"/>
  <c r="C217" i="3"/>
  <c r="B217" i="3"/>
  <c r="C216" i="3"/>
  <c r="B216" i="3"/>
  <c r="C215" i="3"/>
  <c r="B215" i="3"/>
  <c r="C214" i="3"/>
  <c r="B214" i="3"/>
  <c r="B213" i="3"/>
  <c r="C212" i="3"/>
  <c r="B212" i="3"/>
  <c r="C211" i="3"/>
  <c r="B211" i="3"/>
  <c r="B210" i="3"/>
  <c r="C209" i="3"/>
  <c r="B209" i="3"/>
  <c r="C208" i="3"/>
  <c r="B208" i="3"/>
  <c r="C207" i="3"/>
  <c r="B207" i="3"/>
  <c r="C206" i="3"/>
  <c r="B206" i="3"/>
  <c r="C205" i="3"/>
  <c r="B205" i="3"/>
  <c r="B204" i="3"/>
  <c r="C203" i="3"/>
  <c r="B203" i="3"/>
  <c r="C202" i="3"/>
  <c r="B202" i="3"/>
  <c r="C201" i="3"/>
  <c r="B201" i="3"/>
  <c r="C200" i="3"/>
  <c r="B200" i="3"/>
  <c r="C199" i="3"/>
  <c r="B199" i="3"/>
  <c r="C198" i="3"/>
  <c r="B198" i="3"/>
  <c r="C197" i="3"/>
  <c r="B197" i="3"/>
  <c r="C196" i="3"/>
  <c r="B196" i="3"/>
  <c r="C195" i="3"/>
  <c r="B195" i="3"/>
  <c r="C194" i="3"/>
  <c r="B194" i="3"/>
  <c r="C193" i="3"/>
  <c r="B193" i="3"/>
  <c r="C192" i="3"/>
  <c r="B192" i="3"/>
  <c r="B191" i="3"/>
  <c r="C190" i="3"/>
  <c r="B190" i="3"/>
  <c r="C189" i="3"/>
  <c r="B189" i="3"/>
  <c r="C188" i="3"/>
  <c r="B188" i="3"/>
  <c r="C187" i="3"/>
  <c r="B187" i="3"/>
  <c r="C186" i="3"/>
  <c r="B186" i="3"/>
  <c r="C185" i="3"/>
  <c r="B185" i="3"/>
  <c r="C184" i="3"/>
  <c r="B184" i="3"/>
  <c r="C183" i="3"/>
  <c r="B183" i="3"/>
  <c r="C182" i="3"/>
  <c r="B182" i="3"/>
  <c r="C181" i="3"/>
  <c r="B181" i="3"/>
  <c r="C180" i="3"/>
  <c r="B180" i="3"/>
  <c r="C179" i="3"/>
  <c r="B179" i="3"/>
  <c r="B178" i="3"/>
  <c r="C177" i="3"/>
  <c r="B177" i="3"/>
  <c r="C176" i="3"/>
  <c r="B176" i="3"/>
  <c r="B175" i="3"/>
  <c r="C174" i="3"/>
  <c r="B174" i="3"/>
  <c r="B173" i="3"/>
  <c r="C172" i="3"/>
  <c r="B172" i="3"/>
  <c r="C171" i="3"/>
  <c r="B171" i="3"/>
  <c r="C170" i="3"/>
  <c r="B170" i="3"/>
  <c r="C169" i="3"/>
  <c r="B169" i="3"/>
  <c r="C168" i="3"/>
  <c r="B168" i="3"/>
  <c r="B167" i="3"/>
  <c r="B166" i="3"/>
  <c r="C165" i="3"/>
  <c r="B165" i="3"/>
  <c r="C164" i="3"/>
  <c r="B164" i="3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56" i="3"/>
  <c r="B156" i="3"/>
  <c r="C155" i="3"/>
  <c r="B155" i="3"/>
  <c r="C154" i="3"/>
  <c r="B154" i="3"/>
  <c r="C153" i="3"/>
  <c r="B153" i="3"/>
  <c r="C152" i="3"/>
  <c r="B152" i="3"/>
  <c r="B151" i="3"/>
  <c r="C150" i="3"/>
  <c r="B150" i="3"/>
  <c r="C149" i="3"/>
  <c r="B149" i="3"/>
  <c r="C148" i="3"/>
  <c r="B148" i="3"/>
  <c r="C147" i="3"/>
  <c r="B147" i="3"/>
  <c r="C146" i="3"/>
  <c r="B146" i="3"/>
  <c r="C145" i="3"/>
  <c r="B145" i="3"/>
  <c r="C144" i="3"/>
  <c r="B144" i="3"/>
  <c r="C143" i="3"/>
  <c r="B143" i="3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B130" i="3"/>
  <c r="C129" i="3"/>
  <c r="B129" i="3"/>
  <c r="C128" i="3"/>
  <c r="B128" i="3"/>
  <c r="C127" i="3"/>
  <c r="B127" i="3"/>
  <c r="C126" i="3"/>
  <c r="B126" i="3"/>
  <c r="C125" i="3"/>
  <c r="B125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B62" i="3"/>
  <c r="C61" i="3"/>
  <c r="B61" i="3"/>
  <c r="C60" i="3"/>
  <c r="B60" i="3"/>
  <c r="C59" i="3"/>
  <c r="B59" i="3"/>
  <c r="C58" i="3"/>
  <c r="B58" i="3"/>
  <c r="B57" i="3"/>
  <c r="C56" i="3"/>
  <c r="B56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  <c r="C1" i="3"/>
  <c r="B1" i="3"/>
  <c r="A1" i="3"/>
  <c r="D1061" i="2"/>
  <c r="C1061" i="2"/>
  <c r="D1060" i="2"/>
  <c r="C1060" i="2"/>
  <c r="C1059" i="2"/>
  <c r="D1058" i="2"/>
  <c r="C1058" i="2"/>
  <c r="B1058" i="2"/>
  <c r="D1057" i="2"/>
  <c r="C1057" i="2"/>
  <c r="B1057" i="2"/>
  <c r="D1056" i="2"/>
  <c r="C1056" i="2"/>
  <c r="B1056" i="2"/>
  <c r="D1055" i="2"/>
  <c r="C1055" i="2"/>
  <c r="B1055" i="2"/>
  <c r="D1054" i="2"/>
  <c r="C1054" i="2"/>
  <c r="B1054" i="2"/>
  <c r="D1053" i="2"/>
  <c r="C1053" i="2"/>
  <c r="B1053" i="2"/>
  <c r="D1052" i="2"/>
  <c r="C1052" i="2"/>
  <c r="B1052" i="2"/>
  <c r="D1051" i="2"/>
  <c r="C1051" i="2"/>
  <c r="D1050" i="2"/>
  <c r="C1050" i="2"/>
  <c r="D1049" i="2"/>
  <c r="C1049" i="2"/>
  <c r="D1048" i="2"/>
  <c r="C1048" i="2"/>
  <c r="D1047" i="2"/>
  <c r="C1047" i="2"/>
  <c r="D1046" i="2"/>
  <c r="C1046" i="2"/>
  <c r="D1045" i="2"/>
  <c r="C1045" i="2"/>
  <c r="D1044" i="2"/>
  <c r="C1044" i="2"/>
  <c r="D1043" i="2"/>
  <c r="C1043" i="2"/>
  <c r="D1042" i="2"/>
  <c r="C1042" i="2"/>
  <c r="D1041" i="2"/>
  <c r="C1041" i="2"/>
  <c r="D1040" i="2"/>
  <c r="C1040" i="2"/>
  <c r="B1040" i="2"/>
  <c r="D1039" i="2"/>
  <c r="C1039" i="2"/>
  <c r="B1039" i="2"/>
  <c r="D1038" i="2"/>
  <c r="C1038" i="2"/>
  <c r="D1037" i="2"/>
  <c r="C1037" i="2"/>
  <c r="B1037" i="2"/>
  <c r="D1036" i="2"/>
  <c r="C1036" i="2"/>
  <c r="B1036" i="2"/>
  <c r="D1035" i="2"/>
  <c r="C1035" i="2"/>
  <c r="B1035" i="2"/>
  <c r="D1034" i="2"/>
  <c r="C1034" i="2"/>
  <c r="B1034" i="2"/>
  <c r="D1033" i="2"/>
  <c r="C1033" i="2"/>
  <c r="B1033" i="2"/>
  <c r="D1032" i="2"/>
  <c r="C1032" i="2"/>
  <c r="B1032" i="2"/>
  <c r="D1031" i="2"/>
  <c r="C1031" i="2"/>
  <c r="B1031" i="2"/>
  <c r="D1030" i="2"/>
  <c r="C1030" i="2"/>
  <c r="B1030" i="2"/>
  <c r="D1029" i="2"/>
  <c r="C1029" i="2"/>
  <c r="B1029" i="2"/>
  <c r="D1028" i="2"/>
  <c r="C1028" i="2"/>
  <c r="B1028" i="2"/>
  <c r="D1027" i="2"/>
  <c r="C1027" i="2"/>
  <c r="B1027" i="2"/>
  <c r="D1026" i="2"/>
  <c r="C1026" i="2"/>
  <c r="B1026" i="2"/>
  <c r="D1025" i="2"/>
  <c r="C1025" i="2"/>
  <c r="B1025" i="2"/>
  <c r="D1024" i="2"/>
  <c r="C1024" i="2"/>
  <c r="B1024" i="2"/>
  <c r="D1023" i="2"/>
  <c r="C1023" i="2"/>
  <c r="D1022" i="2"/>
  <c r="C1022" i="2"/>
  <c r="B1022" i="2"/>
  <c r="D1021" i="2"/>
  <c r="C1021" i="2"/>
  <c r="B1021" i="2"/>
  <c r="D1020" i="2"/>
  <c r="C1020" i="2"/>
  <c r="B1020" i="2"/>
  <c r="D1019" i="2"/>
  <c r="C1019" i="2"/>
  <c r="B1019" i="2"/>
  <c r="D1018" i="2"/>
  <c r="C1018" i="2"/>
  <c r="D1017" i="2"/>
  <c r="C1017" i="2"/>
  <c r="B1017" i="2"/>
  <c r="D1016" i="2"/>
  <c r="C1016" i="2"/>
  <c r="D1015" i="2"/>
  <c r="C1015" i="2"/>
  <c r="B1015" i="2"/>
  <c r="D1014" i="2"/>
  <c r="C1014" i="2"/>
  <c r="D1013" i="2"/>
  <c r="C1013" i="2"/>
  <c r="B1013" i="2"/>
  <c r="D1012" i="2"/>
  <c r="C1012" i="2"/>
  <c r="B1012" i="2"/>
  <c r="D1011" i="2"/>
  <c r="C1011" i="2"/>
  <c r="B1011" i="2"/>
  <c r="D1010" i="2"/>
  <c r="C1010" i="2"/>
  <c r="B1010" i="2"/>
  <c r="D1009" i="2"/>
  <c r="C1009" i="2"/>
  <c r="B1009" i="2"/>
  <c r="D1008" i="2"/>
  <c r="C1008" i="2"/>
  <c r="B1008" i="2"/>
  <c r="D1007" i="2"/>
  <c r="C1007" i="2"/>
  <c r="B1007" i="2"/>
  <c r="D1006" i="2"/>
  <c r="C1006" i="2"/>
  <c r="B1006" i="2"/>
  <c r="D1005" i="2"/>
  <c r="C1005" i="2"/>
  <c r="B1005" i="2"/>
  <c r="D1004" i="2"/>
  <c r="B1004" i="2"/>
  <c r="D1003" i="2"/>
  <c r="B1003" i="2"/>
  <c r="D1002" i="2"/>
  <c r="C1002" i="2"/>
  <c r="B1002" i="2"/>
  <c r="D1001" i="2"/>
  <c r="C1001" i="2"/>
  <c r="B1001" i="2"/>
  <c r="D1000" i="2"/>
  <c r="C1000" i="2"/>
  <c r="B1000" i="2"/>
  <c r="D999" i="2"/>
  <c r="C999" i="2"/>
  <c r="B999" i="2"/>
  <c r="D998" i="2"/>
  <c r="C998" i="2"/>
  <c r="B998" i="2"/>
  <c r="D997" i="2"/>
  <c r="C997" i="2"/>
  <c r="B997" i="2"/>
  <c r="D996" i="2"/>
  <c r="C996" i="2"/>
  <c r="B996" i="2"/>
  <c r="D995" i="2"/>
  <c r="C995" i="2"/>
  <c r="B995" i="2"/>
  <c r="D994" i="2"/>
  <c r="C994" i="2"/>
  <c r="B994" i="2"/>
  <c r="D993" i="2"/>
  <c r="C993" i="2"/>
  <c r="B993" i="2"/>
  <c r="D992" i="2"/>
  <c r="C992" i="2"/>
  <c r="B992" i="2"/>
  <c r="D991" i="2"/>
  <c r="C991" i="2"/>
  <c r="B991" i="2"/>
  <c r="D990" i="2"/>
  <c r="C990" i="2"/>
  <c r="B990" i="2"/>
  <c r="D989" i="2"/>
  <c r="C989" i="2"/>
  <c r="B989" i="2"/>
  <c r="D988" i="2"/>
  <c r="C988" i="2"/>
  <c r="B988" i="2"/>
  <c r="D987" i="2"/>
  <c r="C987" i="2"/>
  <c r="B987" i="2"/>
  <c r="D986" i="2"/>
  <c r="C986" i="2"/>
  <c r="B986" i="2"/>
  <c r="D985" i="2"/>
  <c r="C985" i="2"/>
  <c r="B985" i="2"/>
  <c r="D984" i="2"/>
  <c r="C984" i="2"/>
  <c r="B984" i="2"/>
  <c r="D983" i="2"/>
  <c r="C983" i="2"/>
  <c r="B983" i="2"/>
  <c r="D982" i="2"/>
  <c r="C982" i="2"/>
  <c r="B982" i="2"/>
  <c r="D981" i="2"/>
  <c r="C981" i="2"/>
  <c r="B981" i="2"/>
  <c r="D980" i="2"/>
  <c r="C980" i="2"/>
  <c r="B980" i="2"/>
  <c r="D979" i="2"/>
  <c r="C979" i="2"/>
  <c r="B979" i="2"/>
  <c r="D978" i="2"/>
  <c r="C978" i="2"/>
  <c r="B978" i="2"/>
  <c r="D977" i="2"/>
  <c r="C977" i="2"/>
  <c r="B977" i="2"/>
  <c r="D976" i="2"/>
  <c r="C976" i="2"/>
  <c r="B976" i="2"/>
  <c r="D975" i="2"/>
  <c r="C975" i="2"/>
  <c r="B975" i="2"/>
  <c r="D974" i="2"/>
  <c r="C974" i="2"/>
  <c r="B974" i="2"/>
  <c r="D973" i="2"/>
  <c r="C973" i="2"/>
  <c r="B973" i="2"/>
  <c r="D972" i="2"/>
  <c r="C972" i="2"/>
  <c r="B972" i="2"/>
  <c r="D971" i="2"/>
  <c r="C971" i="2"/>
  <c r="B971" i="2"/>
  <c r="D970" i="2"/>
  <c r="C970" i="2"/>
  <c r="B970" i="2"/>
  <c r="D969" i="2"/>
  <c r="C969" i="2"/>
  <c r="B969" i="2"/>
  <c r="D968" i="2"/>
  <c r="C968" i="2"/>
  <c r="B968" i="2"/>
  <c r="D967" i="2"/>
  <c r="C967" i="2"/>
  <c r="B967" i="2"/>
  <c r="D966" i="2"/>
  <c r="C966" i="2"/>
  <c r="B966" i="2"/>
  <c r="D965" i="2"/>
  <c r="C965" i="2"/>
  <c r="B965" i="2"/>
  <c r="D964" i="2"/>
  <c r="C964" i="2"/>
  <c r="B964" i="2"/>
  <c r="D963" i="2"/>
  <c r="C963" i="2"/>
  <c r="B963" i="2"/>
  <c r="D962" i="2"/>
  <c r="C962" i="2"/>
  <c r="B962" i="2"/>
  <c r="D961" i="2"/>
  <c r="C961" i="2"/>
  <c r="B961" i="2"/>
  <c r="D960" i="2"/>
  <c r="C960" i="2"/>
  <c r="B960" i="2"/>
  <c r="D959" i="2"/>
  <c r="C959" i="2"/>
  <c r="B959" i="2"/>
  <c r="D958" i="2"/>
  <c r="C958" i="2"/>
  <c r="B958" i="2"/>
  <c r="D957" i="2"/>
  <c r="C957" i="2"/>
  <c r="B957" i="2"/>
  <c r="D956" i="2"/>
  <c r="C956" i="2"/>
  <c r="B956" i="2"/>
  <c r="D955" i="2"/>
  <c r="C955" i="2"/>
  <c r="B955" i="2"/>
  <c r="D954" i="2"/>
  <c r="C954" i="2"/>
  <c r="D953" i="2"/>
  <c r="C953" i="2"/>
  <c r="B953" i="2"/>
  <c r="D952" i="2"/>
  <c r="C952" i="2"/>
  <c r="B952" i="2"/>
  <c r="D951" i="2"/>
  <c r="C951" i="2"/>
  <c r="B951" i="2"/>
  <c r="D950" i="2"/>
  <c r="C950" i="2"/>
  <c r="B950" i="2"/>
  <c r="D949" i="2"/>
  <c r="C949" i="2"/>
  <c r="B949" i="2"/>
  <c r="D948" i="2"/>
  <c r="C948" i="2"/>
  <c r="B948" i="2"/>
  <c r="D947" i="2"/>
  <c r="C947" i="2"/>
  <c r="B947" i="2"/>
  <c r="D946" i="2"/>
  <c r="C946" i="2"/>
  <c r="B946" i="2"/>
  <c r="D945" i="2"/>
  <c r="C945" i="2"/>
  <c r="B945" i="2"/>
  <c r="D944" i="2"/>
  <c r="C944" i="2"/>
  <c r="B944" i="2"/>
  <c r="D943" i="2"/>
  <c r="C943" i="2"/>
  <c r="B943" i="2"/>
  <c r="D942" i="2"/>
  <c r="C942" i="2"/>
  <c r="B942" i="2"/>
  <c r="D941" i="2"/>
  <c r="C941" i="2"/>
  <c r="B941" i="2"/>
  <c r="D940" i="2"/>
  <c r="C940" i="2"/>
  <c r="B940" i="2"/>
  <c r="D939" i="2"/>
  <c r="C939" i="2"/>
  <c r="B939" i="2"/>
  <c r="D938" i="2"/>
  <c r="C938" i="2"/>
  <c r="B938" i="2"/>
  <c r="D937" i="2"/>
  <c r="C937" i="2"/>
  <c r="B937" i="2"/>
  <c r="D936" i="2"/>
  <c r="C936" i="2"/>
  <c r="B936" i="2"/>
  <c r="D935" i="2"/>
  <c r="C935" i="2"/>
  <c r="B935" i="2"/>
  <c r="D934" i="2"/>
  <c r="C934" i="2"/>
  <c r="B934" i="2"/>
  <c r="D933" i="2"/>
  <c r="C933" i="2"/>
  <c r="B933" i="2"/>
  <c r="D932" i="2"/>
  <c r="C932" i="2"/>
  <c r="B932" i="2"/>
  <c r="D931" i="2"/>
  <c r="C931" i="2"/>
  <c r="D930" i="2"/>
  <c r="C930" i="2"/>
  <c r="B930" i="2"/>
  <c r="D929" i="2"/>
  <c r="C929" i="2"/>
  <c r="B929" i="2"/>
  <c r="D928" i="2"/>
  <c r="C928" i="2"/>
  <c r="B928" i="2"/>
  <c r="D927" i="2"/>
  <c r="C927" i="2"/>
  <c r="B927" i="2"/>
  <c r="D926" i="2"/>
  <c r="C926" i="2"/>
  <c r="B926" i="2"/>
  <c r="D925" i="2"/>
  <c r="C925" i="2"/>
  <c r="B925" i="2"/>
  <c r="D924" i="2"/>
  <c r="C924" i="2"/>
  <c r="B924" i="2"/>
  <c r="D923" i="2"/>
  <c r="C923" i="2"/>
  <c r="B923" i="2"/>
  <c r="D922" i="2"/>
  <c r="C922" i="2"/>
  <c r="B922" i="2"/>
  <c r="D921" i="2"/>
  <c r="C921" i="2"/>
  <c r="B921" i="2"/>
  <c r="D920" i="2"/>
  <c r="C920" i="2"/>
  <c r="B920" i="2"/>
  <c r="D919" i="2"/>
  <c r="C919" i="2"/>
  <c r="B919" i="2"/>
  <c r="D918" i="2"/>
  <c r="C918" i="2"/>
  <c r="B918" i="2"/>
  <c r="D917" i="2"/>
  <c r="C917" i="2"/>
  <c r="B917" i="2"/>
  <c r="D916" i="2"/>
  <c r="C916" i="2"/>
  <c r="B916" i="2"/>
  <c r="D915" i="2"/>
  <c r="C915" i="2"/>
  <c r="B915" i="2"/>
  <c r="D914" i="2"/>
  <c r="C914" i="2"/>
  <c r="B914" i="2"/>
  <c r="D913" i="2"/>
  <c r="C913" i="2"/>
  <c r="B913" i="2"/>
  <c r="D912" i="2"/>
  <c r="C912" i="2"/>
  <c r="B912" i="2"/>
  <c r="D911" i="2"/>
  <c r="C911" i="2"/>
  <c r="B911" i="2"/>
  <c r="D910" i="2"/>
  <c r="C910" i="2"/>
  <c r="B910" i="2"/>
  <c r="D909" i="2"/>
  <c r="C909" i="2"/>
  <c r="B909" i="2"/>
  <c r="D908" i="2"/>
  <c r="C908" i="2"/>
  <c r="B908" i="2"/>
  <c r="D907" i="2"/>
  <c r="C907" i="2"/>
  <c r="B907" i="2"/>
  <c r="D906" i="2"/>
  <c r="C906" i="2"/>
  <c r="B906" i="2"/>
  <c r="D905" i="2"/>
  <c r="C905" i="2"/>
  <c r="B905" i="2"/>
  <c r="D904" i="2"/>
  <c r="C904" i="2"/>
  <c r="B904" i="2"/>
  <c r="D903" i="2"/>
  <c r="C903" i="2"/>
  <c r="B903" i="2"/>
  <c r="D902" i="2"/>
  <c r="C902" i="2"/>
  <c r="B902" i="2"/>
  <c r="D901" i="2"/>
  <c r="C901" i="2"/>
  <c r="B901" i="2"/>
  <c r="D900" i="2"/>
  <c r="C900" i="2"/>
  <c r="B900" i="2"/>
  <c r="D899" i="2"/>
  <c r="C899" i="2"/>
  <c r="B899" i="2"/>
  <c r="D898" i="2"/>
  <c r="C898" i="2"/>
  <c r="B898" i="2"/>
  <c r="D897" i="2"/>
  <c r="C897" i="2"/>
  <c r="B897" i="2"/>
  <c r="D896" i="2"/>
  <c r="C896" i="2"/>
  <c r="B896" i="2"/>
  <c r="D895" i="2"/>
  <c r="C895" i="2"/>
  <c r="B895" i="2"/>
  <c r="D894" i="2"/>
  <c r="C894" i="2"/>
  <c r="B894" i="2"/>
  <c r="D893" i="2"/>
  <c r="C893" i="2"/>
  <c r="B893" i="2"/>
  <c r="D892" i="2"/>
  <c r="C892" i="2"/>
  <c r="B892" i="2"/>
  <c r="D891" i="2"/>
  <c r="C891" i="2"/>
  <c r="B891" i="2"/>
  <c r="D890" i="2"/>
  <c r="C890" i="2"/>
  <c r="B890" i="2"/>
  <c r="D889" i="2"/>
  <c r="C889" i="2"/>
  <c r="B889" i="2"/>
  <c r="D888" i="2"/>
  <c r="C888" i="2"/>
  <c r="B888" i="2"/>
  <c r="D887" i="2"/>
  <c r="C887" i="2"/>
  <c r="B887" i="2"/>
  <c r="D886" i="2"/>
  <c r="C886" i="2"/>
  <c r="B886" i="2"/>
  <c r="D885" i="2"/>
  <c r="C885" i="2"/>
  <c r="B885" i="2"/>
  <c r="D884" i="2"/>
  <c r="C884" i="2"/>
  <c r="B884" i="2"/>
  <c r="D883" i="2"/>
  <c r="C883" i="2"/>
  <c r="B883" i="2"/>
  <c r="D882" i="2"/>
  <c r="C882" i="2"/>
  <c r="B882" i="2"/>
  <c r="D881" i="2"/>
  <c r="C881" i="2"/>
  <c r="B881" i="2"/>
  <c r="D880" i="2"/>
  <c r="C880" i="2"/>
  <c r="B880" i="2"/>
  <c r="D879" i="2"/>
  <c r="C879" i="2"/>
  <c r="B879" i="2"/>
  <c r="D878" i="2"/>
  <c r="C878" i="2"/>
  <c r="B878" i="2"/>
  <c r="D877" i="2"/>
  <c r="C877" i="2"/>
  <c r="B877" i="2"/>
  <c r="D876" i="2"/>
  <c r="C876" i="2"/>
  <c r="B876" i="2"/>
  <c r="D875" i="2"/>
  <c r="C875" i="2"/>
  <c r="B875" i="2"/>
  <c r="D874" i="2"/>
  <c r="C874" i="2"/>
  <c r="B874" i="2"/>
  <c r="D873" i="2"/>
  <c r="C873" i="2"/>
  <c r="B873" i="2"/>
  <c r="D872" i="2"/>
  <c r="C872" i="2"/>
  <c r="B872" i="2"/>
  <c r="D871" i="2"/>
  <c r="C871" i="2"/>
  <c r="B871" i="2"/>
  <c r="D870" i="2"/>
  <c r="C870" i="2"/>
  <c r="B870" i="2"/>
  <c r="D869" i="2"/>
  <c r="C869" i="2"/>
  <c r="B869" i="2"/>
  <c r="D868" i="2"/>
  <c r="C868" i="2"/>
  <c r="B868" i="2"/>
  <c r="D867" i="2"/>
  <c r="C867" i="2"/>
  <c r="B867" i="2"/>
  <c r="D866" i="2"/>
  <c r="C866" i="2"/>
  <c r="B866" i="2"/>
  <c r="D865" i="2"/>
  <c r="C865" i="2"/>
  <c r="B865" i="2"/>
  <c r="D864" i="2"/>
  <c r="C864" i="2"/>
  <c r="B864" i="2"/>
  <c r="D863" i="2"/>
  <c r="C863" i="2"/>
  <c r="B863" i="2"/>
  <c r="D862" i="2"/>
  <c r="C862" i="2"/>
  <c r="B862" i="2"/>
  <c r="D861" i="2"/>
  <c r="C861" i="2"/>
  <c r="D860" i="2"/>
  <c r="C860" i="2"/>
  <c r="D859" i="2"/>
  <c r="C859" i="2"/>
  <c r="D858" i="2"/>
  <c r="C858" i="2"/>
  <c r="B858" i="2"/>
  <c r="D857" i="2"/>
  <c r="C857" i="2"/>
  <c r="B857" i="2"/>
  <c r="D856" i="2"/>
  <c r="C856" i="2"/>
  <c r="B856" i="2"/>
  <c r="D855" i="2"/>
  <c r="C855" i="2"/>
  <c r="B855" i="2"/>
  <c r="D854" i="2"/>
  <c r="C854" i="2"/>
  <c r="B854" i="2"/>
  <c r="D853" i="2"/>
  <c r="C853" i="2"/>
  <c r="B853" i="2"/>
  <c r="D852" i="2"/>
  <c r="C852" i="2"/>
  <c r="B852" i="2"/>
  <c r="D851" i="2"/>
  <c r="C851" i="2"/>
  <c r="B851" i="2"/>
  <c r="D850" i="2"/>
  <c r="C850" i="2"/>
  <c r="B850" i="2"/>
  <c r="D849" i="2"/>
  <c r="C849" i="2"/>
  <c r="B849" i="2"/>
  <c r="D848" i="2"/>
  <c r="C848" i="2"/>
  <c r="B848" i="2"/>
  <c r="D847" i="2"/>
  <c r="C847" i="2"/>
  <c r="B847" i="2"/>
  <c r="D846" i="2"/>
  <c r="C846" i="2"/>
  <c r="B846" i="2"/>
  <c r="D845" i="2"/>
  <c r="C845" i="2"/>
  <c r="B845" i="2"/>
  <c r="D844" i="2"/>
  <c r="C844" i="2"/>
  <c r="B844" i="2"/>
  <c r="D843" i="2"/>
  <c r="C843" i="2"/>
  <c r="B843" i="2"/>
  <c r="D842" i="2"/>
  <c r="C842" i="2"/>
  <c r="B842" i="2"/>
  <c r="D841" i="2"/>
  <c r="C841" i="2"/>
  <c r="B841" i="2"/>
  <c r="D840" i="2"/>
  <c r="C840" i="2"/>
  <c r="B840" i="2"/>
  <c r="D839" i="2"/>
  <c r="C839" i="2"/>
  <c r="B839" i="2"/>
  <c r="D838" i="2"/>
  <c r="C838" i="2"/>
  <c r="B838" i="2"/>
  <c r="D837" i="2"/>
  <c r="C837" i="2"/>
  <c r="B837" i="2"/>
  <c r="B836" i="2"/>
  <c r="D835" i="2"/>
  <c r="C835" i="2"/>
  <c r="B835" i="2"/>
  <c r="C834" i="2"/>
  <c r="B834" i="2"/>
  <c r="D833" i="2"/>
  <c r="C833" i="2"/>
  <c r="B833" i="2"/>
  <c r="D832" i="2"/>
  <c r="C832" i="2"/>
  <c r="B832" i="2"/>
  <c r="D831" i="2"/>
  <c r="C831" i="2"/>
  <c r="B831" i="2"/>
  <c r="D830" i="2"/>
  <c r="C830" i="2"/>
  <c r="B830" i="2"/>
  <c r="D829" i="2"/>
  <c r="C829" i="2"/>
  <c r="B829" i="2"/>
  <c r="D828" i="2"/>
  <c r="C828" i="2"/>
  <c r="B828" i="2"/>
  <c r="D827" i="2"/>
  <c r="C827" i="2"/>
  <c r="B827" i="2"/>
  <c r="D826" i="2"/>
  <c r="C826" i="2"/>
  <c r="B826" i="2"/>
  <c r="D825" i="2"/>
  <c r="C825" i="2"/>
  <c r="B825" i="2"/>
  <c r="D824" i="2"/>
  <c r="C824" i="2"/>
  <c r="B824" i="2"/>
  <c r="B823" i="2"/>
  <c r="B822" i="2"/>
  <c r="B821" i="2"/>
  <c r="B820" i="2"/>
  <c r="B819" i="2"/>
  <c r="D818" i="2"/>
  <c r="C818" i="2"/>
  <c r="B818" i="2"/>
  <c r="D817" i="2"/>
  <c r="C817" i="2"/>
  <c r="B817" i="2"/>
  <c r="D816" i="2"/>
  <c r="C816" i="2"/>
  <c r="B816" i="2"/>
  <c r="D815" i="2"/>
  <c r="C815" i="2"/>
  <c r="B815" i="2"/>
  <c r="D814" i="2"/>
  <c r="C814" i="2"/>
  <c r="B814" i="2"/>
  <c r="D813" i="2"/>
  <c r="C813" i="2"/>
  <c r="B813" i="2"/>
  <c r="D812" i="2"/>
  <c r="C812" i="2"/>
  <c r="B812" i="2"/>
  <c r="D811" i="2"/>
  <c r="C811" i="2"/>
  <c r="B811" i="2"/>
  <c r="D810" i="2"/>
  <c r="C810" i="2"/>
  <c r="B810" i="2"/>
  <c r="D809" i="2"/>
  <c r="C809" i="2"/>
  <c r="B809" i="2"/>
  <c r="D808" i="2"/>
  <c r="C808" i="2"/>
  <c r="B808" i="2"/>
  <c r="D807" i="2"/>
  <c r="C807" i="2"/>
  <c r="B807" i="2"/>
  <c r="D806" i="2"/>
  <c r="C806" i="2"/>
  <c r="B806" i="2"/>
  <c r="D805" i="2"/>
  <c r="C805" i="2"/>
  <c r="B805" i="2"/>
  <c r="D804" i="2"/>
  <c r="C804" i="2"/>
  <c r="B804" i="2"/>
  <c r="D803" i="2"/>
  <c r="C803" i="2"/>
  <c r="B803" i="2"/>
  <c r="D802" i="2"/>
  <c r="C802" i="2"/>
  <c r="B802" i="2"/>
  <c r="D801" i="2"/>
  <c r="C801" i="2"/>
  <c r="B801" i="2"/>
  <c r="D800" i="2"/>
  <c r="C800" i="2"/>
  <c r="D799" i="2"/>
  <c r="C799" i="2"/>
  <c r="D798" i="2"/>
  <c r="C798" i="2"/>
  <c r="D797" i="2"/>
  <c r="C797" i="2"/>
  <c r="D796" i="2"/>
  <c r="C796" i="2"/>
  <c r="D795" i="2"/>
  <c r="C795" i="2"/>
  <c r="D794" i="2"/>
  <c r="C794" i="2"/>
  <c r="D793" i="2"/>
  <c r="C793" i="2"/>
  <c r="D792" i="2"/>
  <c r="C792" i="2"/>
  <c r="D791" i="2"/>
  <c r="C791" i="2"/>
  <c r="D790" i="2"/>
  <c r="C790" i="2"/>
  <c r="D789" i="2"/>
  <c r="C789" i="2"/>
  <c r="B789" i="2"/>
  <c r="D788" i="2"/>
  <c r="C788" i="2"/>
  <c r="B788" i="2"/>
  <c r="D787" i="2"/>
  <c r="C787" i="2"/>
  <c r="B787" i="2"/>
  <c r="D786" i="2"/>
  <c r="C786" i="2"/>
  <c r="D785" i="2"/>
  <c r="C785" i="2"/>
  <c r="D784" i="2"/>
  <c r="C784" i="2"/>
  <c r="D783" i="2"/>
  <c r="C783" i="2"/>
  <c r="D782" i="2"/>
  <c r="C782" i="2"/>
  <c r="D781" i="2"/>
  <c r="C781" i="2"/>
  <c r="D780" i="2"/>
  <c r="C780" i="2"/>
  <c r="D779" i="2"/>
  <c r="C779" i="2"/>
  <c r="D778" i="2"/>
  <c r="C778" i="2"/>
  <c r="D777" i="2"/>
  <c r="C777" i="2"/>
  <c r="D776" i="2"/>
  <c r="C776" i="2"/>
  <c r="D775" i="2"/>
  <c r="C775" i="2"/>
  <c r="B775" i="2"/>
  <c r="D774" i="2"/>
  <c r="C774" i="2"/>
  <c r="B774" i="2"/>
  <c r="D773" i="2"/>
  <c r="C773" i="2"/>
  <c r="B773" i="2"/>
  <c r="D772" i="2"/>
  <c r="C772" i="2"/>
  <c r="D771" i="2"/>
  <c r="C771" i="2"/>
  <c r="D770" i="2"/>
  <c r="C770" i="2"/>
  <c r="D769" i="2"/>
  <c r="C769" i="2"/>
  <c r="D768" i="2"/>
  <c r="C768" i="2"/>
  <c r="D767" i="2"/>
  <c r="C767" i="2"/>
  <c r="D766" i="2"/>
  <c r="C766" i="2"/>
  <c r="D765" i="2"/>
  <c r="C765" i="2"/>
  <c r="D764" i="2"/>
  <c r="C764" i="2"/>
  <c r="D763" i="2"/>
  <c r="C763" i="2"/>
  <c r="D762" i="2"/>
  <c r="C762" i="2"/>
  <c r="B762" i="2"/>
  <c r="D761" i="2"/>
  <c r="C761" i="2"/>
  <c r="B761" i="2"/>
  <c r="D760" i="2"/>
  <c r="C760" i="2"/>
  <c r="B760" i="2"/>
  <c r="D759" i="2"/>
  <c r="C759" i="2"/>
  <c r="B759" i="2"/>
  <c r="D758" i="2"/>
  <c r="C758" i="2"/>
  <c r="B758" i="2"/>
  <c r="D757" i="2"/>
  <c r="C757" i="2"/>
  <c r="B757" i="2"/>
  <c r="D756" i="2"/>
  <c r="C756" i="2"/>
  <c r="B756" i="2"/>
  <c r="D755" i="2"/>
  <c r="C755" i="2"/>
  <c r="B755" i="2"/>
  <c r="D754" i="2"/>
  <c r="C754" i="2"/>
  <c r="B754" i="2"/>
  <c r="D753" i="2"/>
  <c r="C753" i="2"/>
  <c r="B753" i="2"/>
  <c r="D752" i="2"/>
  <c r="C752" i="2"/>
  <c r="B752" i="2"/>
  <c r="D751" i="2"/>
  <c r="C751" i="2"/>
  <c r="B751" i="2"/>
  <c r="D750" i="2"/>
  <c r="C750" i="2"/>
  <c r="B750" i="2"/>
  <c r="D749" i="2"/>
  <c r="C749" i="2"/>
  <c r="B749" i="2"/>
  <c r="D748" i="2"/>
  <c r="C748" i="2"/>
  <c r="D747" i="2"/>
  <c r="C747" i="2"/>
  <c r="D746" i="2"/>
  <c r="C746" i="2"/>
  <c r="B746" i="2"/>
  <c r="D745" i="2"/>
  <c r="C745" i="2"/>
  <c r="B745" i="2"/>
  <c r="D744" i="2"/>
  <c r="C744" i="2"/>
  <c r="B744" i="2"/>
  <c r="D743" i="2"/>
  <c r="C743" i="2"/>
  <c r="D742" i="2"/>
  <c r="C742" i="2"/>
  <c r="D741" i="2"/>
  <c r="C741" i="2"/>
  <c r="D740" i="2"/>
  <c r="C740" i="2"/>
  <c r="D739" i="2"/>
  <c r="C739" i="2"/>
  <c r="D738" i="2"/>
  <c r="C738" i="2"/>
  <c r="D737" i="2"/>
  <c r="C737" i="2"/>
  <c r="D736" i="2"/>
  <c r="C736" i="2"/>
  <c r="D735" i="2"/>
  <c r="C735" i="2"/>
  <c r="D734" i="2"/>
  <c r="C734" i="2"/>
  <c r="D733" i="2"/>
  <c r="C733" i="2"/>
  <c r="D732" i="2"/>
  <c r="C732" i="2"/>
  <c r="D731" i="2"/>
  <c r="C731" i="2"/>
  <c r="B731" i="2"/>
  <c r="D730" i="2"/>
  <c r="C730" i="2"/>
  <c r="B730" i="2"/>
  <c r="D729" i="2"/>
  <c r="C729" i="2"/>
  <c r="B729" i="2"/>
  <c r="D728" i="2"/>
  <c r="C728" i="2"/>
  <c r="B728" i="2"/>
  <c r="D727" i="2"/>
  <c r="C727" i="2"/>
  <c r="B727" i="2"/>
  <c r="D726" i="2"/>
  <c r="C726" i="2"/>
  <c r="B726" i="2"/>
  <c r="D725" i="2"/>
  <c r="C725" i="2"/>
  <c r="B725" i="2"/>
  <c r="D724" i="2"/>
  <c r="C724" i="2"/>
  <c r="B724" i="2"/>
  <c r="D723" i="2"/>
  <c r="C723" i="2"/>
  <c r="B723" i="2"/>
  <c r="D722" i="2"/>
  <c r="C722" i="2"/>
  <c r="B722" i="2"/>
  <c r="D721" i="2"/>
  <c r="C721" i="2"/>
  <c r="B721" i="2"/>
  <c r="D720" i="2"/>
  <c r="C720" i="2"/>
  <c r="B720" i="2"/>
  <c r="D719" i="2"/>
  <c r="C719" i="2"/>
  <c r="B719" i="2"/>
  <c r="D718" i="2"/>
  <c r="C718" i="2"/>
  <c r="D717" i="2"/>
  <c r="C717" i="2"/>
  <c r="D716" i="2"/>
  <c r="C716" i="2"/>
  <c r="D715" i="2"/>
  <c r="C715" i="2"/>
  <c r="D714" i="2"/>
  <c r="C714" i="2"/>
  <c r="D713" i="2"/>
  <c r="C713" i="2"/>
  <c r="D712" i="2"/>
  <c r="C712" i="2"/>
  <c r="D711" i="2"/>
  <c r="C711" i="2"/>
  <c r="D710" i="2"/>
  <c r="C710" i="2"/>
  <c r="D709" i="2"/>
  <c r="C709" i="2"/>
  <c r="D708" i="2"/>
  <c r="C708" i="2"/>
  <c r="D707" i="2"/>
  <c r="C707" i="2"/>
  <c r="D706" i="2"/>
  <c r="C706" i="2"/>
  <c r="D705" i="2"/>
  <c r="C705" i="2"/>
  <c r="D704" i="2"/>
  <c r="C704" i="2"/>
  <c r="D703" i="2"/>
  <c r="C703" i="2"/>
  <c r="D702" i="2"/>
  <c r="C702" i="2"/>
  <c r="D701" i="2"/>
  <c r="C701" i="2"/>
  <c r="D700" i="2"/>
  <c r="C700" i="2"/>
  <c r="C699" i="2"/>
  <c r="D698" i="2"/>
  <c r="C698" i="2"/>
  <c r="D697" i="2"/>
  <c r="C697" i="2"/>
  <c r="D696" i="2"/>
  <c r="C696" i="2"/>
  <c r="D695" i="2"/>
  <c r="C695" i="2"/>
  <c r="D694" i="2"/>
  <c r="C694" i="2"/>
  <c r="D693" i="2"/>
  <c r="C693" i="2"/>
  <c r="D692" i="2"/>
  <c r="C692" i="2"/>
  <c r="D691" i="2"/>
  <c r="C691" i="2"/>
  <c r="D690" i="2"/>
  <c r="C690" i="2"/>
  <c r="D689" i="2"/>
  <c r="C689" i="2"/>
  <c r="D688" i="2"/>
  <c r="C688" i="2"/>
  <c r="D687" i="2"/>
  <c r="C687" i="2"/>
  <c r="D686" i="2"/>
  <c r="C686" i="2"/>
  <c r="D685" i="2"/>
  <c r="C685" i="2"/>
  <c r="D684" i="2"/>
  <c r="C684" i="2"/>
  <c r="D683" i="2"/>
  <c r="C683" i="2"/>
  <c r="D682" i="2"/>
  <c r="C682" i="2"/>
  <c r="D681" i="2"/>
  <c r="C681" i="2"/>
  <c r="D680" i="2"/>
  <c r="C680" i="2"/>
  <c r="D679" i="2"/>
  <c r="C679" i="2"/>
  <c r="D678" i="2"/>
  <c r="C678" i="2"/>
  <c r="D677" i="2"/>
  <c r="C677" i="2"/>
  <c r="D676" i="2"/>
  <c r="C676" i="2"/>
  <c r="D675" i="2"/>
  <c r="C675" i="2"/>
  <c r="D674" i="2"/>
  <c r="C674" i="2"/>
  <c r="D673" i="2"/>
  <c r="C673" i="2"/>
  <c r="D672" i="2"/>
  <c r="C672" i="2"/>
  <c r="D671" i="2"/>
  <c r="C671" i="2"/>
  <c r="D670" i="2"/>
  <c r="C670" i="2"/>
  <c r="B670" i="2"/>
  <c r="D669" i="2"/>
  <c r="C669" i="2"/>
  <c r="B669" i="2"/>
  <c r="D668" i="2"/>
  <c r="C668" i="2"/>
  <c r="B668" i="2"/>
  <c r="D667" i="2"/>
  <c r="C667" i="2"/>
  <c r="B667" i="2"/>
  <c r="D666" i="2"/>
  <c r="C666" i="2"/>
  <c r="B666" i="2"/>
  <c r="D665" i="2"/>
  <c r="C665" i="2"/>
  <c r="B665" i="2"/>
  <c r="D664" i="2"/>
  <c r="C664" i="2"/>
  <c r="B664" i="2"/>
  <c r="D663" i="2"/>
  <c r="C663" i="2"/>
  <c r="B663" i="2"/>
  <c r="D662" i="2"/>
  <c r="C662" i="2"/>
  <c r="D661" i="2"/>
  <c r="C661" i="2"/>
  <c r="D660" i="2"/>
  <c r="C660" i="2"/>
  <c r="D659" i="2"/>
  <c r="C659" i="2"/>
  <c r="D658" i="2"/>
  <c r="C658" i="2"/>
  <c r="D657" i="2"/>
  <c r="C657" i="2"/>
  <c r="D656" i="2"/>
  <c r="C656" i="2"/>
  <c r="D655" i="2"/>
  <c r="C655" i="2"/>
  <c r="D654" i="2"/>
  <c r="C654" i="2"/>
  <c r="D653" i="2"/>
  <c r="C653" i="2"/>
  <c r="D652" i="2"/>
  <c r="C652" i="2"/>
  <c r="D651" i="2"/>
  <c r="C651" i="2"/>
  <c r="D650" i="2"/>
  <c r="C650" i="2"/>
  <c r="D649" i="2"/>
  <c r="C649" i="2"/>
  <c r="D648" i="2"/>
  <c r="C648" i="2"/>
  <c r="D647" i="2"/>
  <c r="C647" i="2"/>
  <c r="D646" i="2"/>
  <c r="C646" i="2"/>
  <c r="D645" i="2"/>
  <c r="C645" i="2"/>
  <c r="D644" i="2"/>
  <c r="C644" i="2"/>
  <c r="D643" i="2"/>
  <c r="C643" i="2"/>
  <c r="D642" i="2"/>
  <c r="C642" i="2"/>
  <c r="D641" i="2"/>
  <c r="C641" i="2"/>
  <c r="D640" i="2"/>
  <c r="C640" i="2"/>
  <c r="D639" i="2"/>
  <c r="C639" i="2"/>
  <c r="D638" i="2"/>
  <c r="C638" i="2"/>
  <c r="D637" i="2"/>
  <c r="C637" i="2"/>
  <c r="D636" i="2"/>
  <c r="C636" i="2"/>
  <c r="D635" i="2"/>
  <c r="C635" i="2"/>
  <c r="D634" i="2"/>
  <c r="C634" i="2"/>
  <c r="D633" i="2"/>
  <c r="C633" i="2"/>
  <c r="D632" i="2"/>
  <c r="C632" i="2"/>
  <c r="D631" i="2"/>
  <c r="C631" i="2"/>
  <c r="D630" i="2"/>
  <c r="C630" i="2"/>
  <c r="D629" i="2"/>
  <c r="C629" i="2"/>
  <c r="D628" i="2"/>
  <c r="C628" i="2"/>
  <c r="D627" i="2"/>
  <c r="C627" i="2"/>
  <c r="D626" i="2"/>
  <c r="C626" i="2"/>
  <c r="D625" i="2"/>
  <c r="C625" i="2"/>
  <c r="D624" i="2"/>
  <c r="C624" i="2"/>
  <c r="D623" i="2"/>
  <c r="C623" i="2"/>
  <c r="D622" i="2"/>
  <c r="C622" i="2"/>
  <c r="D621" i="2"/>
  <c r="C621" i="2"/>
  <c r="D620" i="2"/>
  <c r="C620" i="2"/>
  <c r="D619" i="2"/>
  <c r="C619" i="2"/>
  <c r="D618" i="2"/>
  <c r="C618" i="2"/>
  <c r="D617" i="2"/>
  <c r="C617" i="2"/>
  <c r="B617" i="2"/>
  <c r="D616" i="2"/>
  <c r="C616" i="2"/>
  <c r="B616" i="2"/>
  <c r="D615" i="2"/>
  <c r="C615" i="2"/>
  <c r="B615" i="2"/>
  <c r="D614" i="2"/>
  <c r="C614" i="2"/>
  <c r="B614" i="2"/>
  <c r="D613" i="2"/>
  <c r="C613" i="2"/>
  <c r="B613" i="2"/>
  <c r="D612" i="2"/>
  <c r="C612" i="2"/>
  <c r="B612" i="2"/>
  <c r="D611" i="2"/>
  <c r="C611" i="2"/>
  <c r="B611" i="2"/>
  <c r="D610" i="2"/>
  <c r="C610" i="2"/>
  <c r="B610" i="2"/>
  <c r="D609" i="2"/>
  <c r="C609" i="2"/>
  <c r="B609" i="2"/>
  <c r="D608" i="2"/>
  <c r="C608" i="2"/>
  <c r="D607" i="2"/>
  <c r="C607" i="2"/>
  <c r="D606" i="2"/>
  <c r="C606" i="2"/>
  <c r="D605" i="2"/>
  <c r="C605" i="2"/>
  <c r="D604" i="2"/>
  <c r="C604" i="2"/>
  <c r="D603" i="2"/>
  <c r="C603" i="2"/>
  <c r="D602" i="2"/>
  <c r="C602" i="2"/>
  <c r="D600" i="2"/>
  <c r="C600" i="2"/>
  <c r="D599" i="2"/>
  <c r="C599" i="2"/>
  <c r="D598" i="2"/>
  <c r="C598" i="2"/>
  <c r="D597" i="2"/>
  <c r="C597" i="2"/>
  <c r="D596" i="2"/>
  <c r="C596" i="2"/>
  <c r="D595" i="2"/>
  <c r="C595" i="2"/>
  <c r="D594" i="2"/>
  <c r="C594" i="2"/>
  <c r="D593" i="2"/>
  <c r="C593" i="2"/>
  <c r="D592" i="2"/>
  <c r="C592" i="2"/>
  <c r="D591" i="2"/>
  <c r="C591" i="2"/>
  <c r="D590" i="2"/>
  <c r="C590" i="2"/>
  <c r="D589" i="2"/>
  <c r="C589" i="2"/>
  <c r="D588" i="2"/>
  <c r="C588" i="2"/>
  <c r="D587" i="2"/>
  <c r="C587" i="2"/>
  <c r="D586" i="2"/>
  <c r="C586" i="2"/>
  <c r="D585" i="2"/>
  <c r="C585" i="2"/>
  <c r="D584" i="2"/>
  <c r="C584" i="2"/>
  <c r="D583" i="2"/>
  <c r="C583" i="2"/>
  <c r="D582" i="2"/>
  <c r="C582" i="2"/>
  <c r="D581" i="2"/>
  <c r="C581" i="2"/>
  <c r="D580" i="2"/>
  <c r="C580" i="2"/>
  <c r="D579" i="2"/>
  <c r="C579" i="2"/>
  <c r="D578" i="2"/>
  <c r="C578" i="2"/>
  <c r="D577" i="2"/>
  <c r="C577" i="2"/>
  <c r="D576" i="2"/>
  <c r="C576" i="2"/>
  <c r="D575" i="2"/>
  <c r="C575" i="2"/>
  <c r="D574" i="2"/>
  <c r="C574" i="2"/>
  <c r="D573" i="2"/>
  <c r="C573" i="2"/>
  <c r="D572" i="2"/>
  <c r="C572" i="2"/>
  <c r="D571" i="2"/>
  <c r="C571" i="2"/>
  <c r="D570" i="2"/>
  <c r="C570" i="2"/>
  <c r="D569" i="2"/>
  <c r="C569" i="2"/>
  <c r="D568" i="2"/>
  <c r="C568" i="2"/>
  <c r="D567" i="2"/>
  <c r="C567" i="2"/>
  <c r="D566" i="2"/>
  <c r="C566" i="2"/>
  <c r="D565" i="2"/>
  <c r="C565" i="2"/>
  <c r="D564" i="2"/>
  <c r="C564" i="2"/>
  <c r="D563" i="2"/>
  <c r="C563" i="2"/>
  <c r="D562" i="2"/>
  <c r="C562" i="2"/>
  <c r="D561" i="2"/>
  <c r="C561" i="2"/>
  <c r="D560" i="2"/>
  <c r="C560" i="2"/>
  <c r="D559" i="2"/>
  <c r="C559" i="2"/>
  <c r="D558" i="2"/>
  <c r="C558" i="2"/>
  <c r="D557" i="2"/>
  <c r="C557" i="2"/>
  <c r="D556" i="2"/>
  <c r="C556" i="2"/>
  <c r="D555" i="2"/>
  <c r="C555" i="2"/>
  <c r="D554" i="2"/>
  <c r="C554" i="2"/>
  <c r="D553" i="2"/>
  <c r="C553" i="2"/>
  <c r="D552" i="2"/>
  <c r="C552" i="2"/>
  <c r="D551" i="2"/>
  <c r="C551" i="2"/>
  <c r="D550" i="2"/>
  <c r="C550" i="2"/>
  <c r="D549" i="2"/>
  <c r="C549" i="2"/>
  <c r="D548" i="2"/>
  <c r="C548" i="2"/>
  <c r="D547" i="2"/>
  <c r="C547" i="2"/>
  <c r="D546" i="2"/>
  <c r="C546" i="2"/>
  <c r="D545" i="2"/>
  <c r="C545" i="2"/>
  <c r="D544" i="2"/>
  <c r="C544" i="2"/>
  <c r="D543" i="2"/>
  <c r="C543" i="2"/>
  <c r="D542" i="2"/>
  <c r="C542" i="2"/>
  <c r="B542" i="2"/>
  <c r="C541" i="2"/>
  <c r="D540" i="2"/>
  <c r="C540" i="2"/>
  <c r="B540" i="2"/>
  <c r="D539" i="2"/>
  <c r="C539" i="2"/>
  <c r="B539" i="2"/>
  <c r="C538" i="2"/>
  <c r="B538" i="2"/>
  <c r="D537" i="2"/>
  <c r="C537" i="2"/>
  <c r="B537" i="2"/>
  <c r="D536" i="2"/>
  <c r="C536" i="2"/>
  <c r="B536" i="2"/>
  <c r="C535" i="2"/>
  <c r="B535" i="2"/>
  <c r="D534" i="2"/>
  <c r="C534" i="2"/>
  <c r="B534" i="2"/>
  <c r="D533" i="2"/>
  <c r="C533" i="2"/>
  <c r="B533" i="2"/>
  <c r="D532" i="2"/>
  <c r="C532" i="2"/>
  <c r="B532" i="2"/>
  <c r="D531" i="2"/>
  <c r="C531" i="2"/>
  <c r="B531" i="2"/>
  <c r="C530" i="2"/>
  <c r="B530" i="2"/>
  <c r="D529" i="2"/>
  <c r="C529" i="2"/>
  <c r="B529" i="2"/>
  <c r="D528" i="2"/>
  <c r="C528" i="2"/>
  <c r="D527" i="2"/>
  <c r="C527" i="2"/>
  <c r="D526" i="2"/>
  <c r="C526" i="2"/>
  <c r="D525" i="2"/>
  <c r="C525" i="2"/>
  <c r="D524" i="2"/>
  <c r="C524" i="2"/>
  <c r="D523" i="2"/>
  <c r="C523" i="2"/>
  <c r="D522" i="2"/>
  <c r="C522" i="2"/>
  <c r="D521" i="2"/>
  <c r="C521" i="2"/>
  <c r="D520" i="2"/>
  <c r="C520" i="2"/>
  <c r="D519" i="2"/>
  <c r="C519" i="2"/>
  <c r="D518" i="2"/>
  <c r="C518" i="2"/>
  <c r="D517" i="2"/>
  <c r="C517" i="2"/>
  <c r="D516" i="2"/>
  <c r="C516" i="2"/>
  <c r="D515" i="2"/>
  <c r="C515" i="2"/>
  <c r="D514" i="2"/>
  <c r="C514" i="2"/>
  <c r="D513" i="2"/>
  <c r="C513" i="2"/>
  <c r="B513" i="2"/>
  <c r="D512" i="2"/>
  <c r="C512" i="2"/>
  <c r="B512" i="2"/>
  <c r="D511" i="2"/>
  <c r="C511" i="2"/>
  <c r="B511" i="2"/>
  <c r="D510" i="2"/>
  <c r="C510" i="2"/>
  <c r="B510" i="2"/>
  <c r="D509" i="2"/>
  <c r="C509" i="2"/>
  <c r="D508" i="2"/>
  <c r="C508" i="2"/>
  <c r="D507" i="2"/>
  <c r="C507" i="2"/>
  <c r="D506" i="2"/>
  <c r="C506" i="2"/>
  <c r="D505" i="2"/>
  <c r="C505" i="2"/>
  <c r="D504" i="2"/>
  <c r="C504" i="2"/>
  <c r="D503" i="2"/>
  <c r="C503" i="2"/>
  <c r="D502" i="2"/>
  <c r="C502" i="2"/>
  <c r="D501" i="2"/>
  <c r="C501" i="2"/>
  <c r="D500" i="2"/>
  <c r="C500" i="2"/>
  <c r="D499" i="2"/>
  <c r="C499" i="2"/>
  <c r="D498" i="2"/>
  <c r="C498" i="2"/>
  <c r="D497" i="2"/>
  <c r="C497" i="2"/>
  <c r="B497" i="2"/>
  <c r="D496" i="2"/>
  <c r="C496" i="2"/>
  <c r="B496" i="2"/>
  <c r="D495" i="2"/>
  <c r="C495" i="2"/>
  <c r="B495" i="2"/>
  <c r="D494" i="2"/>
  <c r="C494" i="2"/>
  <c r="B494" i="2"/>
  <c r="D493" i="2"/>
  <c r="C493" i="2"/>
  <c r="B493" i="2"/>
  <c r="D492" i="2"/>
  <c r="C492" i="2"/>
  <c r="B492" i="2"/>
  <c r="D491" i="2"/>
  <c r="C491" i="2"/>
  <c r="B491" i="2"/>
  <c r="D490" i="2"/>
  <c r="C490" i="2"/>
  <c r="B490" i="2"/>
  <c r="D489" i="2"/>
  <c r="C489" i="2"/>
  <c r="B489" i="2"/>
  <c r="D488" i="2"/>
  <c r="C488" i="2"/>
  <c r="B488" i="2"/>
  <c r="D487" i="2"/>
  <c r="C487" i="2"/>
  <c r="B487" i="2"/>
  <c r="D486" i="2"/>
  <c r="C486" i="2"/>
  <c r="B486" i="2"/>
  <c r="D485" i="2"/>
  <c r="C485" i="2"/>
  <c r="B485" i="2"/>
  <c r="D484" i="2"/>
  <c r="C484" i="2"/>
  <c r="B484" i="2"/>
  <c r="D483" i="2"/>
  <c r="C483" i="2"/>
  <c r="B483" i="2"/>
  <c r="D482" i="2"/>
  <c r="C482" i="2"/>
  <c r="B482" i="2"/>
  <c r="D481" i="2"/>
  <c r="C481" i="2"/>
  <c r="B481" i="2"/>
  <c r="D480" i="2"/>
  <c r="C480" i="2"/>
  <c r="B480" i="2"/>
  <c r="D479" i="2"/>
  <c r="C479" i="2"/>
  <c r="B479" i="2"/>
  <c r="D478" i="2"/>
  <c r="C478" i="2"/>
  <c r="B478" i="2"/>
  <c r="D477" i="2"/>
  <c r="C477" i="2"/>
  <c r="B477" i="2"/>
  <c r="D476" i="2"/>
  <c r="C476" i="2"/>
  <c r="B476" i="2"/>
  <c r="D475" i="2"/>
  <c r="C475" i="2"/>
  <c r="B475" i="2"/>
  <c r="D474" i="2"/>
  <c r="C474" i="2"/>
  <c r="B474" i="2"/>
  <c r="D473" i="2"/>
  <c r="C473" i="2"/>
  <c r="B473" i="2"/>
  <c r="D472" i="2"/>
  <c r="C472" i="2"/>
  <c r="B472" i="2"/>
  <c r="D471" i="2"/>
  <c r="C471" i="2"/>
  <c r="D470" i="2"/>
  <c r="C470" i="2"/>
  <c r="D469" i="2"/>
  <c r="C469" i="2"/>
  <c r="B469" i="2"/>
  <c r="D468" i="2"/>
  <c r="C468" i="2"/>
  <c r="B468" i="2"/>
  <c r="D467" i="2"/>
  <c r="C467" i="2"/>
  <c r="D466" i="2"/>
  <c r="C466" i="2"/>
  <c r="B466" i="2"/>
  <c r="D465" i="2"/>
  <c r="C465" i="2"/>
  <c r="B465" i="2"/>
  <c r="D464" i="2"/>
  <c r="C464" i="2"/>
  <c r="B464" i="2"/>
  <c r="D463" i="2"/>
  <c r="C463" i="2"/>
  <c r="B463" i="2"/>
  <c r="D462" i="2"/>
  <c r="C462" i="2"/>
  <c r="B462" i="2"/>
  <c r="D461" i="2"/>
  <c r="C461" i="2"/>
  <c r="B461" i="2"/>
  <c r="D460" i="2"/>
  <c r="C460" i="2"/>
  <c r="B460" i="2"/>
  <c r="D459" i="2"/>
  <c r="C459" i="2"/>
  <c r="B459" i="2"/>
  <c r="D458" i="2"/>
  <c r="C458" i="2"/>
  <c r="B458" i="2"/>
  <c r="D457" i="2"/>
  <c r="C457" i="2"/>
  <c r="B457" i="2"/>
  <c r="D456" i="2"/>
  <c r="C456" i="2"/>
  <c r="B456" i="2"/>
  <c r="D455" i="2"/>
  <c r="C455" i="2"/>
  <c r="B455" i="2"/>
  <c r="D454" i="2"/>
  <c r="C454" i="2"/>
  <c r="B454" i="2"/>
  <c r="D453" i="2"/>
  <c r="C453" i="2"/>
  <c r="B453" i="2"/>
  <c r="D452" i="2"/>
  <c r="C452" i="2"/>
  <c r="B452" i="2"/>
  <c r="D451" i="2"/>
  <c r="C451" i="2"/>
  <c r="B451" i="2"/>
  <c r="D450" i="2"/>
  <c r="C450" i="2"/>
  <c r="B450" i="2"/>
  <c r="D449" i="2"/>
  <c r="C449" i="2"/>
  <c r="D448" i="2"/>
  <c r="C448" i="2"/>
  <c r="D447" i="2"/>
  <c r="C447" i="2"/>
  <c r="D446" i="2"/>
  <c r="C446" i="2"/>
  <c r="D445" i="2"/>
  <c r="C445" i="2"/>
  <c r="D444" i="2"/>
  <c r="C444" i="2"/>
  <c r="D443" i="2"/>
  <c r="C443" i="2"/>
  <c r="D442" i="2"/>
  <c r="C442" i="2"/>
  <c r="D441" i="2"/>
  <c r="C441" i="2"/>
  <c r="D440" i="2"/>
  <c r="C440" i="2"/>
  <c r="D439" i="2"/>
  <c r="C439" i="2"/>
  <c r="D438" i="2"/>
  <c r="C438" i="2"/>
  <c r="D437" i="2"/>
  <c r="C437" i="2"/>
  <c r="B437" i="2"/>
  <c r="D436" i="2"/>
  <c r="C436" i="2"/>
  <c r="D435" i="2"/>
  <c r="C435" i="2"/>
  <c r="D434" i="2"/>
  <c r="C434" i="2"/>
  <c r="D433" i="2"/>
  <c r="C433" i="2"/>
  <c r="D432" i="2"/>
  <c r="C432" i="2"/>
  <c r="D431" i="2"/>
  <c r="C431" i="2"/>
  <c r="D430" i="2"/>
  <c r="C430" i="2"/>
  <c r="D429" i="2"/>
  <c r="C429" i="2"/>
  <c r="B429" i="2"/>
  <c r="D428" i="2"/>
  <c r="C428" i="2"/>
  <c r="B428" i="2"/>
  <c r="D427" i="2"/>
  <c r="C427" i="2"/>
  <c r="D426" i="2"/>
  <c r="C426" i="2"/>
  <c r="B426" i="2"/>
  <c r="D425" i="2"/>
  <c r="C425" i="2"/>
  <c r="B425" i="2"/>
  <c r="D424" i="2"/>
  <c r="C424" i="2"/>
  <c r="B424" i="2"/>
  <c r="D423" i="2"/>
  <c r="C423" i="2"/>
  <c r="B423" i="2"/>
  <c r="D422" i="2"/>
  <c r="C422" i="2"/>
  <c r="B422" i="2"/>
  <c r="D421" i="2"/>
  <c r="C421" i="2"/>
  <c r="B421" i="2"/>
  <c r="D420" i="2"/>
  <c r="C420" i="2"/>
  <c r="B420" i="2"/>
  <c r="D419" i="2"/>
  <c r="C419" i="2"/>
  <c r="B419" i="2"/>
  <c r="D418" i="2"/>
  <c r="C418" i="2"/>
  <c r="B418" i="2"/>
  <c r="D417" i="2"/>
  <c r="C417" i="2"/>
  <c r="B417" i="2"/>
  <c r="D416" i="2"/>
  <c r="C416" i="2"/>
  <c r="B416" i="2"/>
  <c r="D415" i="2"/>
  <c r="C415" i="2"/>
  <c r="B415" i="2"/>
  <c r="D414" i="2"/>
  <c r="C414" i="2"/>
  <c r="B414" i="2"/>
  <c r="D413" i="2"/>
  <c r="C413" i="2"/>
  <c r="B413" i="2"/>
  <c r="D412" i="2"/>
  <c r="C412" i="2"/>
  <c r="B412" i="2"/>
  <c r="D411" i="2"/>
  <c r="C411" i="2"/>
  <c r="B411" i="2"/>
  <c r="D410" i="2"/>
  <c r="C410" i="2"/>
  <c r="B410" i="2"/>
  <c r="D409" i="2"/>
  <c r="C409" i="2"/>
  <c r="B409" i="2"/>
  <c r="D408" i="2"/>
  <c r="C408" i="2"/>
  <c r="B408" i="2"/>
  <c r="D407" i="2"/>
  <c r="C407" i="2"/>
  <c r="B407" i="2"/>
  <c r="D406" i="2"/>
  <c r="C406" i="2"/>
  <c r="B406" i="2"/>
  <c r="D405" i="2"/>
  <c r="C405" i="2"/>
  <c r="B405" i="2"/>
  <c r="D404" i="2"/>
  <c r="C404" i="2"/>
  <c r="B404" i="2"/>
  <c r="D403" i="2"/>
  <c r="C403" i="2"/>
  <c r="B403" i="2"/>
  <c r="D402" i="2"/>
  <c r="C402" i="2"/>
  <c r="B402" i="2"/>
  <c r="D401" i="2"/>
  <c r="C401" i="2"/>
  <c r="B401" i="2"/>
  <c r="D400" i="2"/>
  <c r="C400" i="2"/>
  <c r="B400" i="2"/>
  <c r="D399" i="2"/>
  <c r="C399" i="2"/>
  <c r="D397" i="2"/>
  <c r="C397" i="2"/>
  <c r="B397" i="2"/>
  <c r="D396" i="2"/>
  <c r="C396" i="2"/>
  <c r="B396" i="2"/>
  <c r="D395" i="2"/>
  <c r="C395" i="2"/>
  <c r="C394" i="2"/>
  <c r="C393" i="2"/>
  <c r="C392" i="2"/>
  <c r="C391" i="2"/>
  <c r="D390" i="2"/>
  <c r="C390" i="2"/>
  <c r="B390" i="2"/>
  <c r="D389" i="2"/>
  <c r="C389" i="2"/>
  <c r="B389" i="2"/>
  <c r="D388" i="2"/>
  <c r="C388" i="2"/>
  <c r="B388" i="2"/>
  <c r="D387" i="2"/>
  <c r="C387" i="2"/>
  <c r="B387" i="2"/>
  <c r="D386" i="2"/>
  <c r="C386" i="2"/>
  <c r="B386" i="2"/>
  <c r="D385" i="2"/>
  <c r="C385" i="2"/>
  <c r="B385" i="2"/>
  <c r="D384" i="2"/>
  <c r="C384" i="2"/>
  <c r="B384" i="2"/>
  <c r="D383" i="2"/>
  <c r="C383" i="2"/>
  <c r="B383" i="2"/>
  <c r="D382" i="2"/>
  <c r="C382" i="2"/>
  <c r="B382" i="2"/>
  <c r="D381" i="2"/>
  <c r="C381" i="2"/>
  <c r="B381" i="2"/>
  <c r="D380" i="2"/>
  <c r="C380" i="2"/>
  <c r="B380" i="2"/>
  <c r="D379" i="2"/>
  <c r="C379" i="2"/>
  <c r="B379" i="2"/>
  <c r="D378" i="2"/>
  <c r="C378" i="2"/>
  <c r="B378" i="2"/>
  <c r="D377" i="2"/>
  <c r="C377" i="2"/>
  <c r="B377" i="2"/>
  <c r="D376" i="2"/>
  <c r="C376" i="2"/>
  <c r="B376" i="2"/>
  <c r="D375" i="2"/>
  <c r="C375" i="2"/>
  <c r="D374" i="2"/>
  <c r="C374" i="2"/>
  <c r="D373" i="2"/>
  <c r="C373" i="2"/>
  <c r="D372" i="2"/>
  <c r="C372" i="2"/>
  <c r="D371" i="2"/>
  <c r="C371" i="2"/>
  <c r="D370" i="2"/>
  <c r="C370" i="2"/>
  <c r="D369" i="2"/>
  <c r="C369" i="2"/>
  <c r="D368" i="2"/>
  <c r="C368" i="2"/>
  <c r="D367" i="2"/>
  <c r="C367" i="2"/>
  <c r="D366" i="2"/>
  <c r="C366" i="2"/>
  <c r="D365" i="2"/>
  <c r="C365" i="2"/>
  <c r="D364" i="2"/>
  <c r="C364" i="2"/>
  <c r="B364" i="2"/>
  <c r="D363" i="2"/>
  <c r="C363" i="2"/>
  <c r="B363" i="2"/>
  <c r="D362" i="2"/>
  <c r="C362" i="2"/>
  <c r="B362" i="2"/>
  <c r="D361" i="2"/>
  <c r="C361" i="2"/>
  <c r="B361" i="2"/>
  <c r="D360" i="2"/>
  <c r="C360" i="2"/>
  <c r="B360" i="2"/>
  <c r="D359" i="2"/>
  <c r="C359" i="2"/>
  <c r="B359" i="2"/>
  <c r="D358" i="2"/>
  <c r="C358" i="2"/>
  <c r="B358" i="2"/>
  <c r="D357" i="2"/>
  <c r="C357" i="2"/>
  <c r="B357" i="2"/>
  <c r="D356" i="2"/>
  <c r="C356" i="2"/>
  <c r="B356" i="2"/>
  <c r="D355" i="2"/>
  <c r="C355" i="2"/>
  <c r="B355" i="2"/>
  <c r="D354" i="2"/>
  <c r="C354" i="2"/>
  <c r="B354" i="2"/>
  <c r="D353" i="2"/>
  <c r="C353" i="2"/>
  <c r="B353" i="2"/>
  <c r="C352" i="2"/>
  <c r="B352" i="2"/>
  <c r="D351" i="2"/>
  <c r="C351" i="2"/>
  <c r="B351" i="2"/>
  <c r="D350" i="2"/>
  <c r="C350" i="2"/>
  <c r="B350" i="2"/>
  <c r="D349" i="2"/>
  <c r="C349" i="2"/>
  <c r="B349" i="2"/>
  <c r="D348" i="2"/>
  <c r="C348" i="2"/>
  <c r="B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B340" i="2"/>
  <c r="D339" i="2"/>
  <c r="C339" i="2"/>
  <c r="B339" i="2"/>
  <c r="D338" i="2"/>
  <c r="C338" i="2"/>
  <c r="B338" i="2"/>
  <c r="D337" i="2"/>
  <c r="C337" i="2"/>
  <c r="B337" i="2"/>
  <c r="D336" i="2"/>
  <c r="C336" i="2"/>
  <c r="B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B329" i="2"/>
  <c r="D328" i="2"/>
  <c r="C328" i="2"/>
  <c r="B328" i="2"/>
  <c r="D327" i="2"/>
  <c r="C327" i="2"/>
  <c r="B327" i="2"/>
  <c r="D326" i="2"/>
  <c r="C326" i="2"/>
  <c r="B326" i="2"/>
  <c r="D325" i="2"/>
  <c r="C325" i="2"/>
  <c r="B325" i="2"/>
  <c r="D324" i="2"/>
  <c r="C324" i="2"/>
  <c r="B324" i="2"/>
  <c r="D323" i="2"/>
  <c r="C323" i="2"/>
  <c r="B323" i="2"/>
  <c r="D322" i="2"/>
  <c r="C322" i="2"/>
  <c r="B322" i="2"/>
  <c r="D321" i="2"/>
  <c r="C321" i="2"/>
  <c r="B321" i="2"/>
  <c r="D320" i="2"/>
  <c r="C320" i="2"/>
  <c r="B320" i="2"/>
  <c r="D319" i="2"/>
  <c r="C319" i="2"/>
  <c r="B319" i="2"/>
  <c r="D318" i="2"/>
  <c r="C318" i="2"/>
  <c r="B318" i="2"/>
  <c r="D317" i="2"/>
  <c r="C317" i="2"/>
  <c r="B317" i="2"/>
  <c r="D316" i="2"/>
  <c r="C316" i="2"/>
  <c r="B316" i="2"/>
  <c r="D315" i="2"/>
  <c r="C315" i="2"/>
  <c r="B315" i="2"/>
  <c r="D314" i="2"/>
  <c r="C314" i="2"/>
  <c r="B314" i="2"/>
  <c r="D313" i="2"/>
  <c r="C313" i="2"/>
  <c r="B313" i="2"/>
  <c r="D312" i="2"/>
  <c r="C312" i="2"/>
  <c r="D311" i="2"/>
  <c r="C311" i="2"/>
  <c r="B311" i="2"/>
  <c r="D310" i="2"/>
  <c r="C310" i="2"/>
  <c r="D309" i="2"/>
  <c r="C309" i="2"/>
  <c r="D308" i="2"/>
  <c r="C308" i="2"/>
  <c r="D307" i="2"/>
  <c r="C307" i="2"/>
  <c r="B307" i="2"/>
  <c r="D306" i="2"/>
  <c r="C306" i="2"/>
  <c r="B306" i="2"/>
  <c r="D305" i="2"/>
  <c r="C305" i="2"/>
  <c r="B305" i="2"/>
  <c r="D304" i="2"/>
  <c r="C304" i="2"/>
  <c r="B304" i="2"/>
  <c r="D303" i="2"/>
  <c r="C303" i="2"/>
  <c r="B303" i="2"/>
  <c r="D302" i="2"/>
  <c r="C302" i="2"/>
  <c r="B302" i="2"/>
  <c r="D301" i="2"/>
  <c r="C301" i="2"/>
  <c r="B301" i="2"/>
  <c r="D300" i="2"/>
  <c r="C300" i="2"/>
  <c r="B300" i="2"/>
  <c r="D299" i="2"/>
  <c r="C299" i="2"/>
  <c r="B299" i="2"/>
  <c r="D298" i="2"/>
  <c r="C298" i="2"/>
  <c r="D297" i="2"/>
  <c r="C297" i="2"/>
  <c r="D296" i="2"/>
  <c r="C296" i="2"/>
  <c r="B296" i="2"/>
  <c r="D295" i="2"/>
  <c r="C295" i="2"/>
  <c r="B295" i="2"/>
  <c r="D294" i="2"/>
  <c r="C294" i="2"/>
  <c r="B294" i="2"/>
  <c r="D293" i="2"/>
  <c r="C293" i="2"/>
  <c r="B293" i="2"/>
  <c r="D292" i="2"/>
  <c r="C292" i="2"/>
  <c r="B292" i="2"/>
  <c r="D291" i="2"/>
  <c r="C291" i="2"/>
  <c r="B291" i="2"/>
  <c r="D290" i="2"/>
  <c r="C290" i="2"/>
  <c r="B290" i="2"/>
  <c r="D289" i="2"/>
  <c r="C289" i="2"/>
  <c r="B289" i="2"/>
  <c r="D288" i="2"/>
  <c r="C288" i="2"/>
  <c r="B288" i="2"/>
  <c r="D287" i="2"/>
  <c r="C287" i="2"/>
  <c r="B287" i="2"/>
  <c r="D286" i="2"/>
  <c r="C286" i="2"/>
  <c r="B286" i="2"/>
  <c r="D285" i="2"/>
  <c r="C285" i="2"/>
  <c r="B285" i="2"/>
  <c r="D284" i="2"/>
  <c r="C284" i="2"/>
  <c r="B284" i="2"/>
  <c r="D283" i="2"/>
  <c r="C283" i="2"/>
  <c r="B283" i="2"/>
  <c r="D282" i="2"/>
  <c r="C282" i="2"/>
  <c r="B282" i="2"/>
  <c r="D281" i="2"/>
  <c r="C281" i="2"/>
  <c r="B281" i="2"/>
  <c r="D280" i="2"/>
  <c r="C280" i="2"/>
  <c r="B280" i="2"/>
  <c r="D279" i="2"/>
  <c r="C279" i="2"/>
  <c r="B279" i="2"/>
  <c r="D278" i="2"/>
  <c r="C278" i="2"/>
  <c r="B278" i="2"/>
  <c r="D277" i="2"/>
  <c r="C277" i="2"/>
  <c r="B277" i="2"/>
  <c r="D276" i="2"/>
  <c r="C276" i="2"/>
  <c r="B276" i="2"/>
  <c r="D275" i="2"/>
  <c r="C275" i="2"/>
  <c r="B275" i="2"/>
  <c r="D274" i="2"/>
  <c r="C274" i="2"/>
  <c r="B274" i="2"/>
  <c r="D273" i="2"/>
  <c r="C273" i="2"/>
  <c r="B273" i="2"/>
  <c r="D272" i="2"/>
  <c r="C272" i="2"/>
  <c r="B272" i="2"/>
  <c r="D271" i="2"/>
  <c r="C271" i="2"/>
  <c r="D270" i="2"/>
  <c r="C270" i="2"/>
  <c r="B270" i="2"/>
  <c r="C269" i="2"/>
  <c r="B269" i="2"/>
  <c r="C268" i="2"/>
  <c r="B268" i="2"/>
  <c r="D267" i="2"/>
  <c r="C267" i="2"/>
  <c r="B267" i="2"/>
  <c r="D266" i="2"/>
  <c r="C266" i="2"/>
  <c r="B266" i="2"/>
  <c r="D265" i="2"/>
  <c r="C265" i="2"/>
  <c r="B265" i="2"/>
  <c r="D264" i="2"/>
  <c r="C264" i="2"/>
  <c r="B264" i="2"/>
  <c r="D263" i="2"/>
  <c r="C263" i="2"/>
  <c r="B263" i="2"/>
  <c r="D262" i="2"/>
  <c r="C262" i="2"/>
  <c r="B262" i="2"/>
  <c r="D261" i="2"/>
  <c r="C261" i="2"/>
  <c r="B261" i="2"/>
  <c r="D260" i="2"/>
  <c r="C260" i="2"/>
  <c r="B260" i="2"/>
  <c r="D259" i="2"/>
  <c r="C259" i="2"/>
  <c r="B259" i="2"/>
  <c r="D258" i="2"/>
  <c r="C258" i="2"/>
  <c r="B258" i="2"/>
  <c r="D257" i="2"/>
  <c r="C257" i="2"/>
  <c r="B257" i="2"/>
  <c r="D256" i="2"/>
  <c r="C256" i="2"/>
  <c r="B256" i="2"/>
  <c r="D255" i="2"/>
  <c r="C255" i="2"/>
  <c r="B255" i="2"/>
  <c r="D254" i="2"/>
  <c r="C254" i="2"/>
  <c r="B254" i="2"/>
  <c r="D253" i="2"/>
  <c r="C253" i="2"/>
  <c r="B253" i="2"/>
  <c r="D252" i="2"/>
  <c r="C252" i="2"/>
  <c r="B252" i="2"/>
  <c r="D22" i="2"/>
  <c r="C22" i="2"/>
  <c r="D21" i="2"/>
  <c r="C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D12" i="2"/>
  <c r="C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D2" i="2"/>
  <c r="C2" i="2"/>
  <c r="B2" i="2"/>
  <c r="D1" i="2"/>
  <c r="C1" i="2"/>
  <c r="B1" i="2"/>
  <c r="A1" i="2"/>
</calcChain>
</file>

<file path=xl/sharedStrings.xml><?xml version="1.0" encoding="utf-8"?>
<sst xmlns="http://schemas.openxmlformats.org/spreadsheetml/2006/main" count="59" uniqueCount="34">
  <si>
    <t>Субъект</t>
  </si>
  <si>
    <t>Город</t>
  </si>
  <si>
    <t>Название программы</t>
  </si>
  <si>
    <t>Формат</t>
  </si>
  <si>
    <t>Дата</t>
  </si>
  <si>
    <t>Местное время</t>
  </si>
  <si>
    <t>Московское время</t>
  </si>
  <si>
    <t>Место 
проведения</t>
  </si>
  <si>
    <t>Ссылка на вебинар</t>
  </si>
  <si>
    <t>Тема</t>
  </si>
  <si>
    <t>Описание темы</t>
  </si>
  <si>
    <t>Спикер</t>
  </si>
  <si>
    <t>Описание спикера</t>
  </si>
  <si>
    <t>Ак час</t>
  </si>
  <si>
    <t>Ссылка на записи вебинаров</t>
  </si>
  <si>
    <t>Амурская область</t>
  </si>
  <si>
    <t>Онлайн</t>
  </si>
  <si>
    <t>Продажи на маркетплейсах онлайн</t>
  </si>
  <si>
    <t>Вебинар</t>
  </si>
  <si>
    <t>10:00 - 12:15</t>
  </si>
  <si>
    <t>04:00 - 06:15</t>
  </si>
  <si>
    <t>Алина Гончаренко</t>
  </si>
  <si>
    <t>Продажи на российских маркетплейсах: Wildberries, Lamoda, Ozon, Яндекс.Покупки, СДЭК маркет, Kazan Express</t>
  </si>
  <si>
    <t>Доски объявлений как дополнительный канал продаж своих товаров онлайн</t>
  </si>
  <si>
    <t>Ярослав Фешин</t>
  </si>
  <si>
    <t>Онлайн торговля для handmade бизнеса. Etsy и Livemaster. Продажи на иностранных маркетплейсах Amazon, Ebay</t>
  </si>
  <si>
    <t>Тренд 2021 – продажи на маркетплейсах</t>
  </si>
  <si>
    <t>- Что такое маркетплейс? Омниканальная онлайн витрина
- Тренды и возможности продажи товаров на маркетплейсах
- Запуск продаж на маркетплейсах – разбор ключевых процессов
- Маркетплейсы для начинающих и действующих предпринимателей. Мощный старт или усиление существующего направления
- Типы маркетплейсов для заработка. Где купят ваши товары и услуги в 2021? 
- Создание продающей стратегии для товара – 10 практических кейсов 
- Свой товарный бренд – от выбора товара до упаковки</t>
  </si>
  <si>
    <t>- Владелец производства дизайнерского декора и развивающих игрушек COOLWOOdecor
- Основатель проекта по продвижению товаров на маркетплейсах для handmade производителей «BEZGRANIZ»
- Обладатель статуса товара «Bestseller» на маркетплейсе Etsy.com
- Эксперт по российским и зарубежным маркетплейсам, интернет-маркетолог</t>
  </si>
  <si>
    <t>3</t>
  </si>
  <si>
    <t>- Российские маркетплейсы. Тренды. Масштаб
- Гайд по крупнейшим российским маркетплейсам Wildberries, Lamoda, Ozon, Beru
- Особенности каждого маркетплейса
- Категории товаров на платформах
- Особенности регистрации на платформах. Требования к партнеру
- Выстраиваем логистику</t>
  </si>
  <si>
    <t>- Российские доски объявлений которые знают все (avito, юла, tiu.ru)
- Доски объявлений для оптовых продаж (optlist.ru, napolke.ru)
- Быстрая регистрация, требования к товару и ассортименту
- Особенности продаж на досках объявлений, инструменты продвижения 
- Какой контент продающий. Что такое семантическое ядро в объявлении 
- Платные тарифы и комиссии площадок для физ. и юр. лиц
- Успешные кейсы размещения</t>
  </si>
  <si>
    <t>- Эксперт по российским и зарубежным маркетплейсам
- Опыт работы в электронной коммерции более 3 лет в крупнейшей международной компании 
- Владелец нескольких брендов: мужская косметика, аксессуары для кухни, посуда и инвентарь, украшения для обуви
- Партнерская сеть мужской косметики «Fallkony» насчитывает более 50 салонов красоты/барбершопов, 3 дистрибьютора в РФ и СНГ</t>
  </si>
  <si>
    <t>- Бизнес на handmade - миф или реальность? 
- Тренды handmade на иностранном и российском рынке. Специфика потребительской аудитории handmade
- Гайд по крупнейшим маркетплейсам: Etsy, Livemaster, Amazon, Ebay
- Регистрация, доставка товара, комиссия платформы
- Этапы запуска магазина. Основы безбюджетного продвижения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</si>
</sst>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3" x14ac:knownFonts="1">
    <font>
      <sz val="10"/>
      <color rgb="FF000000"/>
      <name val="Arial"/>
    </font>
    <font>
      <b/>
      <sz val="10"/>
      <color rgb="FFFFFFFF"/>
      <name val="Arial"/>
    </font>
    <font>
      <sz val="8"/>
      <color theme="1"/>
      <name val="Arial"/>
    </font>
    <font>
      <sz val="8"/>
      <color rgb="FFFFFFFF"/>
      <name val="Arial"/>
    </font>
    <font>
      <sz val="10"/>
      <color theme="1"/>
      <name val="Arial"/>
    </font>
    <font>
      <sz val="10"/>
      <color theme="1"/>
      <name val="Arial"/>
    </font>
    <font>
      <b/>
      <sz val="10"/>
      <color rgb="FFFFFF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8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/>
        <bgColor theme="8"/>
      </patternFill>
    </fill>
    <fill>
      <patternFill patternType="solid">
        <fgColor rgb="FF34A8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5" fillId="0" borderId="0" xfId="0" applyFont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nkpegqA9XwV-V07xrNuPf-xEaZdw7Cs/view?usp=sharing" TargetMode="External"/><Relationship Id="rId13" Type="http://schemas.openxmlformats.org/officeDocument/2006/relationships/hyperlink" Target="https://dasreda.ru/learn/blog/article/195" TargetMode="External"/><Relationship Id="rId18" Type="http://schemas.openxmlformats.org/officeDocument/2006/relationships/hyperlink" Target="http://dasreda.ru/" TargetMode="External"/><Relationship Id="rId3" Type="http://schemas.openxmlformats.org/officeDocument/2006/relationships/hyperlink" Target="https://docs.google.com/spreadsheets/d/1hrIbAQBFq0Up_tGqX7AvyVuwUQH7_tb-X7OhFVMK9Dw/edit?usp=sharing" TargetMode="External"/><Relationship Id="rId7" Type="http://schemas.openxmlformats.org/officeDocument/2006/relationships/hyperlink" Target="https://dasreda.ru/learn/courses/socialnoe-predprinimatelstvo-ot-idei-do-pribyli1" TargetMode="External"/><Relationship Id="rId12" Type="http://schemas.openxmlformats.org/officeDocument/2006/relationships/hyperlink" Target="https://dasreda.ru/learn/courses/vebinar-tri-kita-millionera-fokus-skorost-motivaciya" TargetMode="External"/><Relationship Id="rId17" Type="http://schemas.openxmlformats.org/officeDocument/2006/relationships/hyperlink" Target="http://dasreda.ru/" TargetMode="External"/><Relationship Id="rId2" Type="http://schemas.openxmlformats.org/officeDocument/2006/relationships/hyperlink" Target="https://drive.google.com/file/d/1cnkpegqA9XwV-V07xrNuPf-xEaZdw7Cs/view?usp=sharing" TargetMode="External"/><Relationship Id="rId16" Type="http://schemas.openxmlformats.org/officeDocument/2006/relationships/hyperlink" Target="http://dasreda.ru/" TargetMode="External"/><Relationship Id="rId20" Type="http://schemas.openxmlformats.org/officeDocument/2006/relationships/hyperlink" Target="http://dasreda.ru/" TargetMode="External"/><Relationship Id="rId1" Type="http://schemas.openxmlformats.org/officeDocument/2006/relationships/hyperlink" Target="http://alibaba.com/" TargetMode="External"/><Relationship Id="rId6" Type="http://schemas.openxmlformats.org/officeDocument/2006/relationships/hyperlink" Target="https://dasreda.ru/learn/courses/strategiya-privlecheniya-klientov-onlajn-i-offlajn/lessons/sekrety-privlecheniya-klientov-onlajn-i-offlajn" TargetMode="External"/><Relationship Id="rId11" Type="http://schemas.openxmlformats.org/officeDocument/2006/relationships/hyperlink" Target="https://dasreda.ru/learn/courses/vebinar-10-urokov-kak-sozdat-i-uderzhat-komandu/lessons/10-urokov-kak-sozdat-i-uderzhat-komandu" TargetMode="External"/><Relationship Id="rId5" Type="http://schemas.openxmlformats.org/officeDocument/2006/relationships/hyperlink" Target="https://dasreda.ru/learn/courses/finansovaya-gramotnost-v-biznese/lessons/chto-takoe-unit-ekonomika-i-kak-eyo-poschitat" TargetMode="External"/><Relationship Id="rId15" Type="http://schemas.openxmlformats.org/officeDocument/2006/relationships/hyperlink" Target="http://dasreda.ru/" TargetMode="External"/><Relationship Id="rId10" Type="http://schemas.openxmlformats.org/officeDocument/2006/relationships/hyperlink" Target="https://drive.google.com/file/d/1cnkpegqA9XwV-V07xrNuPf-xEaZdw7Cs/view?usp=sharing" TargetMode="External"/><Relationship Id="rId19" Type="http://schemas.openxmlformats.org/officeDocument/2006/relationships/hyperlink" Target="http://dasreda.ru/" TargetMode="External"/><Relationship Id="rId4" Type="http://schemas.openxmlformats.org/officeDocument/2006/relationships/hyperlink" Target="https://dasreda.ru/learn/courses/start-biznesa-s-0-do-300-000-poshagovyj-algoritm-dejstvij" TargetMode="External"/><Relationship Id="rId9" Type="http://schemas.openxmlformats.org/officeDocument/2006/relationships/hyperlink" Target="https://drive.google.com/file/d/1cnkpegqA9XwV-V07xrNuPf-xEaZdw7Cs/view?usp=sharing" TargetMode="External"/><Relationship Id="rId14" Type="http://schemas.openxmlformats.org/officeDocument/2006/relationships/hyperlink" Target="https://drive.google.com/file/d/10mnww4HehA2tLvgeR1TKcIIni6jN1d6H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seo-reports.ru/" TargetMode="External"/><Relationship Id="rId1" Type="http://schemas.openxmlformats.org/officeDocument/2006/relationships/hyperlink" Target="http://in-event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O5"/>
  <sheetViews>
    <sheetView tabSelected="1" zoomScale="60" zoomScaleNormal="60" workbookViewId="0">
      <pane ySplit="1" topLeftCell="A2" activePane="bottomLeft" state="frozen"/>
      <selection pane="bottomLeft" activeCell="J2" sqref="J2"/>
    </sheetView>
  </sheetViews>
  <sheetFormatPr defaultColWidth="14.42578125" defaultRowHeight="15.75" customHeight="1" x14ac:dyDescent="0.2"/>
  <cols>
    <col min="1" max="1" width="11.85546875" customWidth="1"/>
    <col min="2" max="2" width="6.7109375" bestFit="1" customWidth="1"/>
    <col min="3" max="3" width="15.5703125" customWidth="1"/>
    <col min="4" max="4" width="7.85546875" bestFit="1" customWidth="1"/>
    <col min="5" max="5" width="9.140625" bestFit="1" customWidth="1"/>
    <col min="6" max="6" width="14.5703125" bestFit="1" customWidth="1"/>
    <col min="7" max="7" width="12.42578125" customWidth="1"/>
    <col min="8" max="8" width="11.7109375" bestFit="1" customWidth="1"/>
    <col min="9" max="9" width="12.28515625" customWidth="1"/>
    <col min="10" max="11" width="36.140625" customWidth="1"/>
    <col min="12" max="12" width="14.85546875" bestFit="1" customWidth="1"/>
    <col min="13" max="13" width="56" customWidth="1"/>
    <col min="14" max="14" width="5.7109375" customWidth="1"/>
    <col min="15" max="15" width="19.5703125" customWidth="1"/>
  </cols>
  <sheetData>
    <row r="1" spans="1:15" ht="38.25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</row>
    <row r="2" spans="1:15" ht="180" x14ac:dyDescent="0.2">
      <c r="A2" s="10" t="s">
        <v>15</v>
      </c>
      <c r="B2" s="10" t="s">
        <v>16</v>
      </c>
      <c r="C2" s="10" t="s">
        <v>17</v>
      </c>
      <c r="D2" s="11" t="s">
        <v>18</v>
      </c>
      <c r="E2" s="12">
        <v>44614</v>
      </c>
      <c r="F2" s="10" t="s">
        <v>19</v>
      </c>
      <c r="G2" s="10" t="s">
        <v>20</v>
      </c>
      <c r="H2" s="13"/>
      <c r="I2" s="14"/>
      <c r="J2" s="15" t="s">
        <v>26</v>
      </c>
      <c r="K2" s="15" t="s">
        <v>27</v>
      </c>
      <c r="L2" s="16" t="s">
        <v>21</v>
      </c>
      <c r="M2" s="15" t="s">
        <v>28</v>
      </c>
      <c r="N2" s="17" t="s">
        <v>29</v>
      </c>
      <c r="O2" s="18"/>
    </row>
    <row r="3" spans="1:15" ht="112.5" x14ac:dyDescent="0.2">
      <c r="A3" s="10" t="s">
        <v>15</v>
      </c>
      <c r="B3" s="10" t="s">
        <v>16</v>
      </c>
      <c r="C3" s="10" t="s">
        <v>17</v>
      </c>
      <c r="D3" s="11" t="s">
        <v>18</v>
      </c>
      <c r="E3" s="12">
        <v>44616</v>
      </c>
      <c r="F3" s="10" t="s">
        <v>19</v>
      </c>
      <c r="G3" s="10" t="s">
        <v>20</v>
      </c>
      <c r="H3" s="19"/>
      <c r="I3" s="14"/>
      <c r="J3" s="15" t="s">
        <v>22</v>
      </c>
      <c r="K3" s="15" t="s">
        <v>30</v>
      </c>
      <c r="L3" s="16" t="s">
        <v>21</v>
      </c>
      <c r="M3" s="15" t="s">
        <v>28</v>
      </c>
      <c r="N3" s="17" t="s">
        <v>29</v>
      </c>
      <c r="O3" s="18"/>
    </row>
    <row r="4" spans="1:15" ht="146.25" x14ac:dyDescent="0.2">
      <c r="A4" s="10" t="s">
        <v>15</v>
      </c>
      <c r="B4" s="10" t="s">
        <v>16</v>
      </c>
      <c r="C4" s="10" t="s">
        <v>17</v>
      </c>
      <c r="D4" s="11" t="s">
        <v>18</v>
      </c>
      <c r="E4" s="12">
        <v>44621</v>
      </c>
      <c r="F4" s="10" t="s">
        <v>19</v>
      </c>
      <c r="G4" s="10" t="s">
        <v>20</v>
      </c>
      <c r="H4" s="19"/>
      <c r="I4" s="14"/>
      <c r="J4" s="15" t="s">
        <v>23</v>
      </c>
      <c r="K4" s="15" t="s">
        <v>31</v>
      </c>
      <c r="L4" s="16" t="s">
        <v>24</v>
      </c>
      <c r="M4" s="15" t="s">
        <v>32</v>
      </c>
      <c r="N4" s="17" t="s">
        <v>29</v>
      </c>
      <c r="O4" s="18"/>
    </row>
    <row r="5" spans="1:15" ht="112.5" x14ac:dyDescent="0.2">
      <c r="A5" s="10" t="s">
        <v>15</v>
      </c>
      <c r="B5" s="10" t="s">
        <v>16</v>
      </c>
      <c r="C5" s="10" t="s">
        <v>17</v>
      </c>
      <c r="D5" s="11" t="s">
        <v>18</v>
      </c>
      <c r="E5" s="12">
        <v>44623</v>
      </c>
      <c r="F5" s="10" t="s">
        <v>19</v>
      </c>
      <c r="G5" s="10" t="s">
        <v>20</v>
      </c>
      <c r="H5" s="13"/>
      <c r="I5" s="14"/>
      <c r="J5" s="15" t="s">
        <v>25</v>
      </c>
      <c r="K5" s="15" t="s">
        <v>33</v>
      </c>
      <c r="L5" s="16" t="s">
        <v>21</v>
      </c>
      <c r="M5" s="15" t="s">
        <v>28</v>
      </c>
      <c r="N5" s="17" t="s">
        <v>29</v>
      </c>
      <c r="O5" s="18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Темы!$B$2:$B5</xm:f>
          </x14:formula1>
          <xm:sqref>C2:C5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561"/>
  <sheetViews>
    <sheetView topLeftCell="B1" workbookViewId="0"/>
  </sheetViews>
  <sheetFormatPr defaultColWidth="14.42578125" defaultRowHeight="15.75" customHeight="1" x14ac:dyDescent="0.2"/>
  <cols>
    <col min="1" max="1" width="32.42578125" hidden="1" customWidth="1"/>
    <col min="2" max="3" width="32.42578125" customWidth="1"/>
    <col min="4" max="4" width="87.5703125" customWidth="1"/>
  </cols>
  <sheetData>
    <row r="1" spans="1:4" ht="15.75" customHeight="1" x14ac:dyDescent="0.2">
      <c r="A1" s="1" t="str">
        <f ca="1">IFERROR(__xludf.DUMMYFUNCTION("IMPORTRANGE(""https://docs.google.com/spreadsheets/d/1nXXlklq1U8a49v8schCvhqGhYiNEuQxwRBhof25GuxE/edit?usp=sharing"",""'РЕЕСТР ТЕМ'!a:d"")"),"")</f>
        <v/>
      </c>
      <c r="B1" s="2" t="str">
        <f ca="1">IFERROR(__xludf.DUMMYFUNCTION("""COMPUTED_VALUE"""),"Программа")</f>
        <v>Программа</v>
      </c>
      <c r="C1" s="2" t="str">
        <f ca="1">IFERROR(__xludf.DUMMYFUNCTION("""COMPUTED_VALUE"""),"Тема")</f>
        <v>Тема</v>
      </c>
      <c r="D1" s="3" t="str">
        <f ca="1">IFERROR(__xludf.DUMMYFUNCTION("""COMPUTED_VALUE"""),"Тезисы
-  от 4 до 6 тезисов  (До 360 симовлов)
- Каждый тезис с новой строки через -")</f>
        <v>Тезисы
-  от 4 до 6 тезисов  (До 360 симовлов)
- Каждый тезис с новой строки через -</v>
      </c>
    </row>
    <row r="2" spans="1:4" ht="15.75" customHeight="1" x14ac:dyDescent="0.2">
      <c r="A2" s="1"/>
      <c r="B2" s="4" t="str">
        <f ca="1">IFERROR(__xludf.DUMMYFUNCTION("""COMPUTED_VALUE"""),"Антикризисная")</f>
        <v>Антикризисная</v>
      </c>
      <c r="C2" s="4" t="str">
        <f ca="1">IFERROR(__xludf.DUMMYFUNCTION("""COMPUTED_VALUE"""),"Первоочередные меры Антикризиса")</f>
        <v>Первоочередные меры Антикризиса</v>
      </c>
      <c r="D2" s="1" t="str">
        <f ca="1">IFERROR(__xludf.DUMMYFUNCTION("""COMPUTED_VALUE"""),"- от 4 до 6 тезисов  (До 360 символов)
- Каждый тезис с новой строки через -
- Каждый тезис должен быть не очень длинный (до 60 символов)")</f>
        <v>- от 4 до 6 тезисов  (До 360 символов)
- Каждый тезис с новой строки через -
- Каждый тезис должен быть не очень длинный (до 60 символов)</v>
      </c>
    </row>
    <row r="3" spans="1:4" ht="15.75" customHeight="1" x14ac:dyDescent="0.2">
      <c r="A3" s="1"/>
      <c r="B3" s="4" t="str">
        <f ca="1">IFERROR(__xludf.DUMMYFUNCTION("""COMPUTED_VALUE"""),"Самозанятость: новые возможности")</f>
        <v>Самозанятость: новые возможности</v>
      </c>
      <c r="C3" s="4" t="str">
        <f ca="1">IFERROR(__xludf.DUMMYFUNCTION("""COMPUTED_VALUE"""),"Личные продажи для самозанятых")</f>
        <v>Личные продажи для самозанятых</v>
      </c>
      <c r="D3" s="1" t="str">
        <f ca="1">IFERROR(__xludf.DUMMYFUNCTION("""COMPUTED_VALUE"""),"- Как продавать свои Услуги 
- Технология удвоения личных продаж
- Колесо баланса продавца
- Как бороться со страхом продаж")</f>
        <v>- Как продавать свои Услуги 
- Технология удвоения личных продаж
- Колесо баланса продавца
- Как бороться со страхом продаж</v>
      </c>
    </row>
    <row r="4" spans="1:4" ht="15.75" customHeight="1" x14ac:dyDescent="0.2">
      <c r="A4" s="1"/>
      <c r="B4" s="4" t="str">
        <f ca="1">IFERROR(__xludf.DUMMYFUNCTION("""COMPUTED_VALUE"""),"Самозанятость: новые возможности (для Калининграда)")</f>
        <v>Самозанятость: новые возможности (для Калининграда)</v>
      </c>
      <c r="C4" s="4" t="str">
        <f ca="1">IFERROR(__xludf.DUMMYFUNCTION("""COMPUTED_VALUE"""),"Создание бизнес-модели для самозанятого")</f>
        <v>Создание бизнес-модели для самозанятого</v>
      </c>
      <c r="D4" s="1" t="str">
        <f ca="1">IFERROR(__xludf.DUMMYFUNCTION("""COMPUTED_VALUE"""),"- Порядок регистрации самозанятого — куда идти, что делать?
- Как оформить свою идею в бизнес-модель?
- Бизнес-модель и ее тестирование на практике")</f>
        <v>- Порядок регистрации самозанятого — куда идти, что делать?
- Как оформить свою идею в бизнес-модель?
- Бизнес-модель и ее тестирование на практике</v>
      </c>
    </row>
    <row r="5" spans="1:4" ht="15.75" customHeight="1" x14ac:dyDescent="0.2">
      <c r="A5" s="1"/>
      <c r="B5" s="4" t="str">
        <f ca="1">IFERROR(__xludf.DUMMYFUNCTION("""COMPUTED_VALUE"""),"Самозанятость: новые возможности (для Калининграда)")</f>
        <v>Самозанятость: новые возможности (для Калининграда)</v>
      </c>
      <c r="C5" s="4" t="str">
        <f ca="1">IFERROR(__xludf.DUMMYFUNCTION("""COMPUTED_VALUE"""),"Формирование ценностного предложения")</f>
        <v>Формирование ценностного предложения</v>
      </c>
      <c r="D5" s="1" t="str">
        <f ca="1">IFERROR(__xludf.DUMMYFUNCTION("""COMPUTED_VALUE"""),"- Что такое ценностное предложение и как его создать?
- Как с помощью правильного ценностного предложения зарабатывать больше?
- Где использовать ценностное предложение?
- Как протестировать ценностное предложение и понять, что оно работает?")</f>
        <v>- Что такое ценностное предложение и как его создать?
- Как с помощью правильного ценностного предложения зарабатывать больше?
- Где использовать ценностное предложение?
- Как протестировать ценностное предложение и понять, что оно работает?</v>
      </c>
    </row>
    <row r="6" spans="1:4" ht="15.75" customHeight="1" x14ac:dyDescent="0.2">
      <c r="A6" s="1"/>
      <c r="B6" s="4" t="str">
        <f ca="1">IFERROR(__xludf.DUMMYFUNCTION("""COMPUTED_VALUE"""),"Самозанятость: новые возможности (для Калининграда)")</f>
        <v>Самозанятость: новые возможности (для Калининграда)</v>
      </c>
      <c r="C6" s="4" t="str">
        <f ca="1">IFERROR(__xludf.DUMMYFUNCTION("""COMPUTED_VALUE"""),"Трекерская встреча №1.")</f>
        <v>Трекерская встреча №1.</v>
      </c>
      <c r="D6" s="1" t="str">
        <f ca="1">IFERROR(__xludf.DUMMYFUNCTION("""COMPUTED_VALUE"""),"- Знакомство в мини-группах
- Обсуждение созданной бизнес-модели
- Обсуждение ценностного предложения каждого участника
- Обратная связь от спикера")</f>
        <v>- Знакомство в мини-группах
- Обсуждение созданной бизнес-модели
- Обсуждение ценностного предложения каждого участника
- Обратная связь от спикера</v>
      </c>
    </row>
    <row r="7" spans="1:4" ht="15.75" customHeight="1" x14ac:dyDescent="0.2">
      <c r="A7" s="1"/>
      <c r="B7" s="4" t="str">
        <f ca="1">IFERROR(__xludf.DUMMYFUNCTION("""COMPUTED_VALUE"""),"Самозанятость: новые возможности (для Калининграда)")</f>
        <v>Самозанятость: новые возможности (для Калининграда)</v>
      </c>
      <c r="C7" s="4" t="str">
        <f ca="1">IFERROR(__xludf.DUMMYFUNCTION("""COMPUTED_VALUE"""),"Управление финансовыми потоками")</f>
        <v>Управление финансовыми потоками</v>
      </c>
      <c r="D7" s="1" t="str">
        <f ca="1">IFERROR(__xludf.DUMMYFUNCTION("""COMPUTED_VALUE"""),"- Как вести учет финансов в бизнесе? 
- Финансовые инструменты для планирования и развития бизнеса 
- Какими важными таблицами для планирования денежных средств необходимо пользоваться?
- Финансовое планирование бизнеса на ближайший год – как посчитать?")</f>
        <v>- Как вести учет финансов в бизнесе? 
- Финансовые инструменты для планирования и развития бизнеса 
- Какими важными таблицами для планирования денежных средств необходимо пользоваться?
- Финансовое планирование бизнеса на ближайший год – как посчитать?</v>
      </c>
    </row>
    <row r="8" spans="1:4" ht="15.75" customHeight="1" x14ac:dyDescent="0.2">
      <c r="A8" s="1"/>
      <c r="B8" s="4" t="str">
        <f ca="1">IFERROR(__xludf.DUMMYFUNCTION("""COMPUTED_VALUE"""),"Самозанятость: новые возможности (для Калининграда)")</f>
        <v>Самозанятость: новые возможности (для Калининграда)</v>
      </c>
      <c r="C8" s="4" t="str">
        <f ca="1">IFERROR(__xludf.DUMMYFUNCTION("""COMPUTED_VALUE"""),"Трекерская встреча №2.")</f>
        <v>Трекерская встреча №2.</v>
      </c>
      <c r="D8" s="1" t="str">
        <f ca="1">IFERROR(__xludf.DUMMYFUNCTION("""COMPUTED_VALUE"""),"- Подведение итогов программы 
- Защита дорожных карт участников ")</f>
        <v xml:space="preserve">- Подведение итогов программы 
- Защита дорожных карт участников </v>
      </c>
    </row>
    <row r="9" spans="1:4" ht="15.75" customHeight="1" x14ac:dyDescent="0.2">
      <c r="A9" s="1"/>
      <c r="B9" s="4" t="str">
        <f ca="1">IFERROR(__xludf.DUMMYFUNCTION("""COMPUTED_VALUE"""),"Серия вебинаров экспорт")</f>
        <v>Серия вебинаров экспорт</v>
      </c>
      <c r="C9" s="4" t="str">
        <f ca="1">IFERROR(__xludf.DUMMYFUNCTION("""COMPUTED_VALUE"""),"Пути и инструменты для выхода на зарубежные рынки")</f>
        <v>Пути и инструменты для выхода на зарубежные рынки</v>
      </c>
      <c r="D9" s="1" t="str">
        <f ca="1">IFERROR(__xludf.DUMMYFUNCTION("""COMPUTED_VALUE"""),"- Типовой путь экспортера. Опыт работы с экспортерами
- Ресурсы, необходимые для старта экспорта. Разбор кейсов
- Инструменты для выхода на зарубежные рынки по каналам B2B, возможности экспортной акселерации
- Основные экспортные рынки для экспорта продук"&amp;"ции участников вебинара: разбор кейсов участников")</f>
        <v>- Типовой путь экспортера. Опыт работы с экспортерами
- Ресурсы, необходимые для старта экспорта. Разбор кейсов
- Инструменты для выхода на зарубежные рынки по каналам B2B, возможности экспортной акселерации
- Основные экспортные рынки для экспорта продукции участников вебинара: разбор кейсов участников</v>
      </c>
    </row>
    <row r="10" spans="1:4" ht="15.75" customHeight="1" x14ac:dyDescent="0.2">
      <c r="A10" s="1"/>
      <c r="B10" s="4" t="str">
        <f ca="1">IFERROR(__xludf.DUMMYFUNCTION("""COMPUTED_VALUE"""),"Серия вебинаров экспорт")</f>
        <v>Серия вебинаров экспорт</v>
      </c>
      <c r="C10" s="4" t="str">
        <f ca="1">IFERROR(__xludf.DUMMYFUNCTION("""COMPUTED_VALUE"""),"Экспорт из России в Китай: ошибки и примеры")</f>
        <v>Экспорт из России в Китай: ошибки и примеры</v>
      </c>
      <c r="D10" s="1" t="str">
        <f ca="1">IFERROR(__xludf.DUMMYFUNCTION("""COMPUTED_VALUE"""),"- Алгоритмы экспорта для b2c b2b:
- Защита интеллектуальной собственности
- Бизнес планирование: стратегический маркетинг, анализ рынка и определение перспективных сегментов рынка, финмодель, архитектура цены и точка безубыточности, операционный план
- Се"&amp;"ртификация
- Подбор и верификация местных партнеров
- Особенности переговоров
- Офлайн и онлайн продвижение
- Инструменты масштабирования
- Разбор кейсов")</f>
        <v>- Алгоритмы экспорта для b2c b2b:
- Защита интеллектуальной собственности
- Бизнес планирование: стратегический маркетинг, анализ рынка и определение перспективных сегментов рынка, финмодель, архитектура цены и точка безубыточности, операционный план
- Сертификация
- Подбор и верификация местных партнеров
- Особенности переговоров
- Офлайн и онлайн продвижение
- Инструменты масштабирования
- Разбор кейсов</v>
      </c>
    </row>
    <row r="11" spans="1:4" ht="15.75" customHeight="1" x14ac:dyDescent="0.2">
      <c r="A11" s="1"/>
      <c r="B11" s="4" t="str">
        <f ca="1">IFERROR(__xludf.DUMMYFUNCTION("""COMPUTED_VALUE"""),"Серия вебинаров экспорт")</f>
        <v>Серия вебинаров экспорт</v>
      </c>
      <c r="C11" s="4" t="str">
        <f ca="1">IFERROR(__xludf.DUMMYFUNCTION("""COMPUTED_VALUE"""),"Экспорт из России в Китай: как рассказать о своем продукте и продавать с высокой добавленной стоимостью")</f>
        <v>Экспорт из России в Китай: как рассказать о своем продукте и продавать с высокой добавленной стоимостью</v>
      </c>
      <c r="D11" s="1" t="str">
        <f ca="1">IFERROR(__xludf.DUMMYFUNCTION("""COMPUTED_VALUE"""),"- Особенности подачи информации при экспорте в Китай
- Онлайн-площадки Китая: расходы и особенности
- Разбор успешных и провальных кейсов")</f>
        <v>- Особенности подачи информации при экспорте в Китай
- Онлайн-площадки Китая: расходы и особенности
- Разбор успешных и провальных кейсов</v>
      </c>
    </row>
    <row r="12" spans="1:4" ht="15.75" customHeight="1" x14ac:dyDescent="0.2">
      <c r="A12" s="1"/>
      <c r="B12" s="4"/>
      <c r="C12" s="4" t="str">
        <f ca="1">IFERROR(__xludf.DUMMYFUNCTION("""COMPUTED_VALUE"""),"Личный бренд самозанятого")</f>
        <v>Личный бренд самозанятого</v>
      </c>
      <c r="D12" s="1" t="str">
        <f ca="1">IFERROR(__xludf.DUMMYFUNCTION("""COMPUTED_VALUE"""),"- Что такое личный бренд? Типы людей, которые его строят
- Концепция «Путь» или как с нуля построить личный бренд?
- 12 архетипов личного бренда
- 16 видов героев
- Путь героя
- Что такое Упаковка? Зачем нужна Упаковка? Базовая упаковка аккаунтов соц"&amp;"иальных сетей
- Разбор аккаунтов
- Вовлекающие сториз, от которых невозможно оторваться
- Каналы для поиска партнеров: сообщества, чаты и прочее; рекомендации по партнерству и работе")</f>
        <v>- Что такое личный бренд? Типы людей, которые его строят
- Концепция «Путь» или как с нуля построить личный бренд?
- 12 архетипов личного бренда
- 16 видов героев
- Путь героя
- Что такое Упаковка? Зачем нужна Упаковка? Базовая упаковка аккаунтов социальных сетей
- Разбор аккаунтов
- Вовлекающие сториз, от которых невозможно оторваться
- Каналы для поиска партнеров: сообщества, чаты и прочее; рекомендации по партнерству и работе</v>
      </c>
    </row>
    <row r="13" spans="1:4" ht="15.75" customHeight="1" x14ac:dyDescent="0.2">
      <c r="A13" s="1"/>
      <c r="B13" s="4"/>
      <c r="C13" s="4" t="str">
        <f ca="1">IFERROR(__xludf.DUMMYFUNCTION("""COMPUTED_VALUE"""),"Мастер-класс по маникюру    ")</f>
        <v xml:space="preserve">Мастер-класс по маникюру    </v>
      </c>
      <c r="D13" s="1" t="str">
        <f ca="1">IFERROR(__xludf.DUMMYFUNCTION("""COMPUTED_VALUE"""),"- Знакомство с брендом BAND, обзор препаратов, новинок
- Мастер-класс 1: «Увеличение прибыли за 15 минут. Внедряем Spa в работу, массаж рук» 
- Мастер-класс 2: «Нейл тренды, как способ отстроится от конкурентов. Градиен техника по мокрому (демонстрация "&amp;"под камерой), горизонтальный от черного к красному и вертикальный кистью из флакона
- Мастер-класс 3: «Быстрое снятие фрезой долговременного покрытия»
- Комбинированный или пилочный маникюр, какой выбрать? Кардинальные отличия техник")</f>
        <v>- Знакомство с брендом BAND, обзор препаратов, новинок
- Мастер-класс 1: «Увеличение прибыли за 15 минут. Внедряем Spa в работу, массаж рук» 
- Мастер-класс 2: «Нейл тренды, как способ отстроится от конкурентов. Градиен техника по мокрому (демонстрация под камерой), горизонтальный от черного к красному и вертикальный кистью из флакона
- Мастер-класс 3: «Быстрое снятие фрезой долговременного покрытия»
- Комбинированный или пилочный маникюр, какой выбрать? Кардинальные отличия техник</v>
      </c>
    </row>
    <row r="14" spans="1:4" ht="15.75" customHeight="1" x14ac:dyDescent="0.2">
      <c r="A14" s="1"/>
      <c r="B14" s="4" t="str">
        <f ca="1">IFERROR(__xludf.DUMMYFUNCTION("""COMPUTED_VALUE"""),"Маркетплейсы 3.0")</f>
        <v>Маркетплейсы 3.0</v>
      </c>
      <c r="C14" s="4" t="str">
        <f ca="1">IFERROR(__xludf.DUMMYFUNCTION("""COMPUTED_VALUE"""),"Стратегия успешных продаж на российских и зарубежных маркетплейсах")</f>
        <v>Стратегия успешных продаж на российских и зарубежных маркетплейсах</v>
      </c>
      <c r="D14" s="1" t="str">
        <f ca="1">IFERROR(__xludf.DUMMYFUNCTION("""COMPUTED_VALUE"""),"- Общее понятие маркетплейсов. Тренды развития e-commerce. Ведение торговли из России
- Маркетплейсы и e-commerce. В чем отличие?
- Маркетплейсы, офлайн и социальные сети 
- Бизнес-процессы маркетплейсов
- ТОП Российских  маркетплейсов wildberries, ozon, "&amp;"яндекс покупки, aliexpress : обзор, тренды, товары, возможности
- Зарубежные платформы. Возможности дополнительных каналов для российских продавцов
- Какие товары нужны иностранному клиенту? Продуктовая линейка на полный календарный год. Менталитет и трен"&amp;"ды
- Алгоритм запуска продающихся продуктов на рынок
- Практическая часть: разбор кейсов продавцов")</f>
        <v>- Общее понятие маркетплейсов. Тренды развития e-commerce. Ведение торговли из России
- Маркетплейсы и e-commerce. В чем отличие?
- Маркетплейсы, офлайн и социальные сети 
- Бизнес-процессы маркетплейсов
- ТОП Российских  маркетплейсов wildberries, ozon, яндекс покупки, aliexpress : обзор, тренды, товары, возможности
- Зарубежные платформы. Возможности дополнительных каналов для российских продавцов
- Какие товары нужны иностранному клиенту? Продуктовая линейка на полный календарный год. Менталитет и тренды
- Алгоритм запуска продающихся продуктов на рынок
- Практическая часть: разбор кейсов продавцов</v>
      </c>
    </row>
    <row r="15" spans="1:4" ht="15.75" customHeight="1" x14ac:dyDescent="0.2">
      <c r="A15" s="1"/>
      <c r="B15" s="4" t="str">
        <f ca="1">IFERROR(__xludf.DUMMYFUNCTION("""COMPUTED_VALUE"""),"Маркетплейсы 3.0")</f>
        <v>Маркетплейсы 3.0</v>
      </c>
      <c r="C15" s="4" t="str">
        <f ca="1">IFERROR(__xludf.DUMMYFUNCTION("""COMPUTED_VALUE"""),"Прожарка действующих продавцов")</f>
        <v>Прожарка действующих продавцов</v>
      </c>
      <c r="D15" s="1" t="str">
        <f ca="1">IFERROR(__xludf.DUMMYFUNCTION("""COMPUTED_VALUE"""),"- Обзор магазинов (заявка заранее)
- Аудит
- Рекомендации по увеличению продаж")</f>
        <v>- Обзор магазинов (заявка заранее)
- Аудит
- Рекомендации по увеличению продаж</v>
      </c>
    </row>
    <row r="16" spans="1:4" ht="15.75" customHeight="1" x14ac:dyDescent="0.2">
      <c r="A16" s="1"/>
      <c r="B16" s="4" t="str">
        <f ca="1">IFERROR(__xludf.DUMMYFUNCTION("""COMPUTED_VALUE"""),"Маркетплейсы 3.0")</f>
        <v>Маркетплейсы 3.0</v>
      </c>
      <c r="C16" s="4" t="str">
        <f ca="1">IFERROR(__xludf.DUMMYFUNCTION("""COMPUTED_VALUE"""),"101 кейсовая история запуска на маркетплейсах")</f>
        <v>101 кейсовая история запуска на маркетплейсах</v>
      </c>
      <c r="D16" s="1" t="str">
        <f ca="1">IFERROR(__xludf.DUMMYFUNCTION("""COMPUTED_VALUE"""),"- Обзор кейсов регионов с примерами товаров. Примеры успешных и неудачных кейсов запуска продаж на маркетплейсах
- Разработка стратегии, выбор маркетплейса
- Итоговые магазины: обзор, продажи
- Выявление ошибок в размещении")</f>
        <v>- Обзор кейсов регионов с примерами товаров. Примеры успешных и неудачных кейсов запуска продаж на маркетплейсах
- Разработка стратегии, выбор маркетплейса
- Итоговые магазины: обзор, продажи
- Выявление ошибок в размещении</v>
      </c>
    </row>
    <row r="17" spans="1:4" ht="15.75" customHeight="1" x14ac:dyDescent="0.2">
      <c r="A17" s="1"/>
      <c r="B17" s="4" t="str">
        <f ca="1">IFERROR(__xludf.DUMMYFUNCTION("""COMPUTED_VALUE"""),"Маркетплейсы 3.0")</f>
        <v>Маркетплейсы 3.0</v>
      </c>
      <c r="C17" s="4" t="str">
        <f ca="1">IFERROR(__xludf.DUMMYFUNCTION("""COMPUTED_VALUE"""),"Услуги на маркетплейсах. Увеличиваем продажи и создаем экосистему")</f>
        <v>Услуги на маркетплейсах. Увеличиваем продажи и создаем экосистему</v>
      </c>
      <c r="D17" s="1" t="str">
        <f ca="1">IFERROR(__xludf.DUMMYFUNCTION("""COMPUTED_VALUE"""),"- Услуги: новые каналы продвижения. Обзор и особенности
- Продажа на Ozon и Digital Wildberries
- Упаковка цифровых продуктов
- Разбор кейсов участников")</f>
        <v>- Услуги: новые каналы продвижения. Обзор и особенности
- Продажа на Ozon и Digital Wildberries
- Упаковка цифровых продуктов
- Разбор кейсов участников</v>
      </c>
    </row>
    <row r="18" spans="1:4" ht="15.75" customHeight="1" x14ac:dyDescent="0.2">
      <c r="A18" s="1"/>
      <c r="B18" s="4" t="str">
        <f ca="1">IFERROR(__xludf.DUMMYFUNCTION("""COMPUTED_VALUE"""),"Маркетплейсы 3.0")</f>
        <v>Маркетплейсы 3.0</v>
      </c>
      <c r="C18" s="4" t="str">
        <f ca="1">IFERROR(__xludf.DUMMYFUNCTION("""COMPUTED_VALUE"""),"Продажи на маркетплейсах. Подведение итогов программы")</f>
        <v>Продажи на маркетплейсах. Подведение итогов программы</v>
      </c>
      <c r="D18" s="1" t="str">
        <f ca="1">IFERROR(__xludf.DUMMYFUNCTION("""COMPUTED_VALUE"""),"- Как создать любимый бренд?
- Обзор дополнительных платформ по запросам участников
- Tone of voice бренда. Создаем правила успешного сервиса
- Подведение итогов программы 
- Защита дорожной карты участников 
- Общие выводы и рекомендации по работе с росс"&amp;"ийскими маркетплейсами")</f>
        <v>- Как создать любимый бренд?
- Обзор дополнительных платформ по запросам участников
- Tone of voice бренда. Создаем правила успешного сервиса
- Подведение итогов программы 
- Защита дорожной карты участников 
- Общие выводы и рекомендации по работе с российскими маркетплейсами</v>
      </c>
    </row>
    <row r="19" spans="1:4" ht="25.5" x14ac:dyDescent="0.2">
      <c r="A19" s="1"/>
      <c r="B19" s="4" t="str">
        <f ca="1">IFERROR(__xludf.DUMMYFUNCTION("""COMPUTED_VALUE"""),"Маркетплейсы 3.0")</f>
        <v>Маркетплейсы 3.0</v>
      </c>
      <c r="C19" s="4" t="str">
        <f ca="1">IFERROR(__xludf.DUMMYFUNCTION("""COMPUTED_VALUE"""),"Юридические вопросы в e-commerce: просто о сложном  ")</f>
        <v xml:space="preserve">Юридические вопросы в e-commerce: просто о сложном  </v>
      </c>
      <c r="D19" s="1" t="str">
        <f ca="1">IFERROR(__xludf.DUMMYFUNCTION("""COMPUTED_VALUE"""),"- Новые возможности и рекомендации юриста перед запуском работы 
- Основные требования маркетплейсов по разрешительным документам 
Wildberries, Ozon, Lamoda: сертификаты, регистрация товарных знаков, 
частые ошибки и др.  
- Договорные модели маркетпл"&amp;"ейса: какие виды, как различать и работать
- Выстраивание эффективной работы с поставщиком: советы юриста. 
Защита бизнеса от злоупотребления правом потребителями (интересы
 e-commerce и закон о защите прав потребителей)
- Правовые рекомендации при со"&amp;"здании собственного интернет-магазина,
 «дорогие ошибки» в интернет-рекламе
- Заключительные вопросы для внедрения: оценка рисков, размещение
 информации о товаре, штрафы за нарушение условий о правообладателей, 
заключение, исполнение и расторжение о"&amp;"нлайн-договоров и электронный 
документооборот)")</f>
        <v>- Новые возможности и рекомендации юриста перед запуском работы 
- Основные требования маркетплейсов по разрешительным документам 
Wildberries, Ozon, Lamoda: сертификаты, регистрация товарных знаков, 
частые ошибки и др.  
- Договорные модели маркетплейса: какие виды, как различать и работать
- Выстраивание эффективной работы с поставщиком: советы юриста. 
Защита бизнеса от злоупотребления правом потребителями (интересы
 e-commerce и закон о защите прав потребителей)
- Правовые рекомендации при создании собственного интернет-магазина,
 «дорогие ошибки» в интернет-рекламе
- Заключительные вопросы для внедрения: оценка рисков, размещение
 информации о товаре, штрафы за нарушение условий о правообладателей, 
заключение, исполнение и расторжение онлайн-договоров и электронный 
документооборот)</v>
      </c>
    </row>
    <row r="20" spans="1:4" ht="63.75" x14ac:dyDescent="0.2">
      <c r="A20" s="1"/>
      <c r="B20" s="4" t="str">
        <f ca="1">IFERROR(__xludf.DUMMYFUNCTION("""COMPUTED_VALUE"""),"Маркетплейсы Пермь")</f>
        <v>Маркетплейсы Пермь</v>
      </c>
      <c r="C20" s="4" t="str">
        <f ca="1">IFERROR(__xludf.DUMMYFUNCTION("""COMPUTED_VALUE"""),"Стратегия успешных продаж на российских и зарубежных маркетплейсах. Wildberries, Ozon, Lamoda, Livemaster, Amazon, Ebay, Etsy")</f>
        <v>Стратегия успешных продаж на российских и зарубежных маркетплейсах. Wildberries, Ozon, Lamoda, Livemaster, Amazon, Ebay, Etsy</v>
      </c>
      <c r="D20" s="1" t="str">
        <f ca="1">IFERROR(__xludf.DUMMYFUNCTION("""COMPUTED_VALUE"""),"- Общее понятие маркетплейсов. Тренды развития e-commerce. Ведение торговли из России
- Маркетплейсы и e-commerce. В чем отличие?
- Маркетплейсы, офлайн и социальные сети 
- Бизнес-процессы маркетплейсов
- ТОП Российских  маркетплейсов wildberries, ozon, "&amp;"яндекс покупки, aliexpress : обзор, тренды, товары, возможности
- Онлайн торговля для handmade бизнеса. Etsy и Livemaster
- Зарубежные платформы Amazon, Ebay. Возможности дополнительных каналов для российских продавцов
- Какие товары нужны иностранному кл"&amp;"иенту? Продуктовая линейка на полный календарный год. Менталитет и тренды
- Алгоритм запуска продающихся продуктов на рынок
- Практическая часть: Разбор кейсов продавцов")</f>
        <v>- Общее понятие маркетплейсов. Тренды развития e-commerce. Ведение торговли из России
- Маркетплейсы и e-commerce. В чем отличие?
- Маркетплейсы, офлайн и социальные сети 
- Бизнес-процессы маркетплейсов
- ТОП Российских  маркетплейсов wildberries, ozon, яндекс покупки, aliexpress : обзор, тренды, товары, возможности
- Онлайн торговля для handmade бизнеса. Etsy и Livemaster
- Зарубежные платформы Amazon, Ebay. Возможности дополнительных каналов для российских продавцов
- Какие товары нужны иностранному клиенту? Продуктовая линейка на полный календарный год. Менталитет и тренды
- Алгоритм запуска продающихся продуктов на рынок
- Практическая часть: Разбор кейсов продавцов</v>
      </c>
    </row>
    <row r="21" spans="1:4" ht="25.5" x14ac:dyDescent="0.2">
      <c r="A21" s="1"/>
      <c r="B21" s="4"/>
      <c r="C21" s="4" t="str">
        <f ca="1">IFERROR(__xludf.DUMMYFUNCTION("""COMPUTED_VALUE"""),"7 шагов для вывода своего товар в ТОП-10 на Wildberries  ")</f>
        <v xml:space="preserve">7 шагов для вывода своего товар в ТОП-10 на Wildberries  </v>
      </c>
      <c r="D21" s="1" t="str">
        <f ca="1">IFERROR(__xludf.DUMMYFUNCTION("""COMPUTED_VALUE"""),"- Воронка продажи на Вайлдберис и как мы можем на нее влиять
- Как оптимизировать карточку товара, чтобы увеличить охваты
- Что такое продающий контент и как сделать его просто и быстро
- Пошаговый план действия для мощного старта с 1-го дня
- Онлайн "&amp;"бизнес под ключ
- Масштабирование интернет – магазинов и точки роста")</f>
        <v>- Воронка продажи на Вайлдберис и как мы можем на нее влиять
- Как оптимизировать карточку товара, чтобы увеличить охваты
- Что такое продающий контент и как сделать его просто и быстро
- Пошаговый план действия для мощного старта с 1-го дня
- Онлайн бизнес под ключ
- Масштабирование интернет – магазинов и точки роста</v>
      </c>
    </row>
    <row r="22" spans="1:4" ht="25.5" x14ac:dyDescent="0.2">
      <c r="A22" s="1"/>
      <c r="B22" s="4"/>
      <c r="C22" s="4" t="str">
        <f ca="1">IFERROR(__xludf.DUMMYFUNCTION("""COMPUTED_VALUE"""),"Продажи на китайских электронных площадках. Alibaba, Aliexpress")</f>
        <v>Продажи на китайских электронных площадках. Alibaba, Aliexpress</v>
      </c>
      <c r="D22" s="5" t="str">
        <f ca="1">IFERROR(__xludf.DUMMYFUNCTION("""COMPUTED_VALUE"""),"- Как российский предприниматель может получить доступ к поставщикам и покупателям через площадки экосистемы Alibaba 
- Поиск и привлечение новых поставщиков на Alibaba.com  
- Поиск и привлечение новых покупателей на Alibaba.com
- Aliexpress B2C марке"&amp;"плейс для продажи по всей России
- Как зарегистрировать магазин и какие требуются минимальные настройки
- Отличие магазина на Aliexpress от магазина на Tmall.ru
- Условия по комиссиям и логистические решения, которые может использовать продавец на Alie"&amp;"xpress
- Кто такие ТП (торговые партнеры) и какие решения они могут предложить продавцам на Aliexpress
- Aliexpress vs WB &amp; OZON
- Актуальные меры государственной поддержки внутренней и трансграничной интернет торговли")</f>
        <v>- Как российский предприниматель может получить доступ к поставщикам и покупателям через площадки экосистемы Alibaba 
- Поиск и привлечение новых поставщиков на Alibaba.com  
- Поиск и привлечение новых покупателей на Alibaba.com
- Aliexpress B2C маркеплейс для продажи по всей России
- Как зарегистрировать магазин и какие требуются минимальные настройки
- Отличие магазина на Aliexpress от магазина на Tmall.ru
- Условия по комиссиям и логистические решения, которые может использовать продавец на Aliexpress
- Кто такие ТП (торговые партнеры) и какие решения они могут предложить продавцам на Aliexpress
- Aliexpress vs WB &amp; OZON
- Актуальные меры государственной поддержки внутренней и трансграничной интернет торговли</v>
      </c>
    </row>
    <row r="23" spans="1:4" ht="12.75" x14ac:dyDescent="0.2">
      <c r="A23" s="1"/>
      <c r="B23" s="4"/>
      <c r="C23" s="4"/>
      <c r="D23" s="1"/>
    </row>
    <row r="24" spans="1:4" ht="12.75" x14ac:dyDescent="0.2">
      <c r="A24" s="1"/>
      <c r="B24" s="4"/>
      <c r="C24" s="4"/>
      <c r="D24" s="1"/>
    </row>
    <row r="25" spans="1:4" ht="12.75" x14ac:dyDescent="0.2">
      <c r="A25" s="1"/>
      <c r="B25" s="4"/>
      <c r="C25" s="4"/>
      <c r="D25" s="1"/>
    </row>
    <row r="26" spans="1:4" ht="12.75" x14ac:dyDescent="0.2">
      <c r="A26" s="1"/>
      <c r="B26" s="4"/>
      <c r="C26" s="4"/>
      <c r="D26" s="1"/>
    </row>
    <row r="27" spans="1:4" ht="12.75" x14ac:dyDescent="0.2">
      <c r="A27" s="1"/>
      <c r="B27" s="4"/>
      <c r="C27" s="4"/>
      <c r="D27" s="1"/>
    </row>
    <row r="28" spans="1:4" ht="12.75" x14ac:dyDescent="0.2">
      <c r="A28" s="1"/>
      <c r="B28" s="4"/>
      <c r="C28" s="4"/>
      <c r="D28" s="1"/>
    </row>
    <row r="29" spans="1:4" ht="12.75" x14ac:dyDescent="0.2">
      <c r="A29" s="1"/>
      <c r="B29" s="4"/>
      <c r="C29" s="4"/>
      <c r="D29" s="1"/>
    </row>
    <row r="30" spans="1:4" ht="12.75" x14ac:dyDescent="0.2">
      <c r="A30" s="1"/>
      <c r="B30" s="4"/>
      <c r="C30" s="4"/>
      <c r="D30" s="1"/>
    </row>
    <row r="31" spans="1:4" ht="12.75" x14ac:dyDescent="0.2">
      <c r="A31" s="1"/>
      <c r="B31" s="4"/>
      <c r="C31" s="4"/>
      <c r="D31" s="1"/>
    </row>
    <row r="32" spans="1:4" ht="12.75" x14ac:dyDescent="0.2">
      <c r="A32" s="1"/>
      <c r="B32" s="4"/>
      <c r="C32" s="4"/>
      <c r="D32" s="1"/>
    </row>
    <row r="33" spans="1:4" ht="12.75" x14ac:dyDescent="0.2">
      <c r="A33" s="1"/>
      <c r="B33" s="4"/>
      <c r="C33" s="4"/>
      <c r="D33" s="1"/>
    </row>
    <row r="34" spans="1:4" ht="12.75" x14ac:dyDescent="0.2">
      <c r="A34" s="1"/>
      <c r="B34" s="4"/>
      <c r="C34" s="4"/>
      <c r="D34" s="1"/>
    </row>
    <row r="35" spans="1:4" ht="12.75" x14ac:dyDescent="0.2">
      <c r="A35" s="1"/>
      <c r="B35" s="4"/>
      <c r="C35" s="4"/>
      <c r="D35" s="1"/>
    </row>
    <row r="36" spans="1:4" ht="12.75" x14ac:dyDescent="0.2">
      <c r="A36" s="1"/>
      <c r="B36" s="4"/>
      <c r="C36" s="4"/>
      <c r="D36" s="1"/>
    </row>
    <row r="37" spans="1:4" ht="12.75" x14ac:dyDescent="0.2">
      <c r="A37" s="1"/>
      <c r="B37" s="4"/>
      <c r="C37" s="4"/>
      <c r="D37" s="1"/>
    </row>
    <row r="38" spans="1:4" ht="12.75" x14ac:dyDescent="0.2">
      <c r="A38" s="1"/>
      <c r="B38" s="4"/>
      <c r="C38" s="4"/>
      <c r="D38" s="1"/>
    </row>
    <row r="39" spans="1:4" ht="12.75" x14ac:dyDescent="0.2">
      <c r="A39" s="1"/>
      <c r="B39" s="4"/>
      <c r="C39" s="4"/>
      <c r="D39" s="1"/>
    </row>
    <row r="40" spans="1:4" ht="12.75" x14ac:dyDescent="0.2">
      <c r="A40" s="1"/>
      <c r="B40" s="4"/>
      <c r="C40" s="4"/>
      <c r="D40" s="1"/>
    </row>
    <row r="41" spans="1:4" ht="12.75" x14ac:dyDescent="0.2">
      <c r="A41" s="1"/>
      <c r="B41" s="4"/>
      <c r="C41" s="4"/>
      <c r="D41" s="1"/>
    </row>
    <row r="42" spans="1:4" ht="12.75" x14ac:dyDescent="0.2">
      <c r="A42" s="1"/>
      <c r="B42" s="4"/>
      <c r="C42" s="4"/>
      <c r="D42" s="1"/>
    </row>
    <row r="43" spans="1:4" ht="12.75" x14ac:dyDescent="0.2">
      <c r="A43" s="1"/>
      <c r="B43" s="4"/>
      <c r="C43" s="4"/>
      <c r="D43" s="1"/>
    </row>
    <row r="44" spans="1:4" ht="12.75" x14ac:dyDescent="0.2">
      <c r="A44" s="1"/>
      <c r="B44" s="4"/>
      <c r="C44" s="4"/>
      <c r="D44" s="1"/>
    </row>
    <row r="45" spans="1:4" ht="12.75" x14ac:dyDescent="0.2">
      <c r="A45" s="1"/>
      <c r="B45" s="4"/>
      <c r="C45" s="4"/>
      <c r="D45" s="1"/>
    </row>
    <row r="46" spans="1:4" ht="12.75" x14ac:dyDescent="0.2">
      <c r="A46" s="1"/>
      <c r="B46" s="4"/>
      <c r="C46" s="4"/>
      <c r="D46" s="1"/>
    </row>
    <row r="47" spans="1:4" ht="12.75" x14ac:dyDescent="0.2">
      <c r="A47" s="1"/>
      <c r="B47" s="4"/>
      <c r="C47" s="4"/>
      <c r="D47" s="1"/>
    </row>
    <row r="48" spans="1:4" ht="12.75" x14ac:dyDescent="0.2">
      <c r="A48" s="1"/>
      <c r="B48" s="4"/>
      <c r="C48" s="4"/>
      <c r="D48" s="1"/>
    </row>
    <row r="49" spans="1:4" ht="12.75" x14ac:dyDescent="0.2">
      <c r="A49" s="1"/>
      <c r="B49" s="4"/>
      <c r="C49" s="4"/>
      <c r="D49" s="1"/>
    </row>
    <row r="50" spans="1:4" ht="12.75" x14ac:dyDescent="0.2">
      <c r="A50" s="1"/>
      <c r="B50" s="4"/>
      <c r="C50" s="4"/>
      <c r="D50" s="1"/>
    </row>
    <row r="51" spans="1:4" ht="12.75" x14ac:dyDescent="0.2">
      <c r="A51" s="1"/>
      <c r="B51" s="4"/>
      <c r="C51" s="4"/>
      <c r="D51" s="1"/>
    </row>
    <row r="52" spans="1:4" ht="12.75" x14ac:dyDescent="0.2">
      <c r="A52" s="1"/>
      <c r="B52" s="4"/>
      <c r="C52" s="4"/>
      <c r="D52" s="1"/>
    </row>
    <row r="53" spans="1:4" ht="12.75" x14ac:dyDescent="0.2">
      <c r="A53" s="1"/>
      <c r="B53" s="4"/>
      <c r="C53" s="4"/>
      <c r="D53" s="1"/>
    </row>
    <row r="54" spans="1:4" ht="12.75" x14ac:dyDescent="0.2">
      <c r="A54" s="1"/>
      <c r="B54" s="4"/>
      <c r="C54" s="4"/>
      <c r="D54" s="1"/>
    </row>
    <row r="55" spans="1:4" ht="12.75" x14ac:dyDescent="0.2">
      <c r="A55" s="1"/>
      <c r="B55" s="4"/>
      <c r="C55" s="4"/>
      <c r="D55" s="1"/>
    </row>
    <row r="56" spans="1:4" ht="12.75" x14ac:dyDescent="0.2">
      <c r="A56" s="1"/>
      <c r="B56" s="4"/>
      <c r="C56" s="4"/>
      <c r="D56" s="1"/>
    </row>
    <row r="57" spans="1:4" ht="12.75" x14ac:dyDescent="0.2">
      <c r="A57" s="1"/>
      <c r="B57" s="4"/>
      <c r="C57" s="4"/>
      <c r="D57" s="1"/>
    </row>
    <row r="58" spans="1:4" ht="12.75" x14ac:dyDescent="0.2">
      <c r="A58" s="1"/>
      <c r="B58" s="4"/>
      <c r="C58" s="4"/>
      <c r="D58" s="1"/>
    </row>
    <row r="59" spans="1:4" ht="12.75" x14ac:dyDescent="0.2">
      <c r="A59" s="1"/>
      <c r="B59" s="4"/>
      <c r="C59" s="4"/>
      <c r="D59" s="1"/>
    </row>
    <row r="60" spans="1:4" ht="12.75" x14ac:dyDescent="0.2">
      <c r="A60" s="1"/>
      <c r="B60" s="4"/>
      <c r="C60" s="4"/>
      <c r="D60" s="1"/>
    </row>
    <row r="61" spans="1:4" ht="12.75" x14ac:dyDescent="0.2">
      <c r="A61" s="1"/>
      <c r="B61" s="4"/>
      <c r="C61" s="4"/>
      <c r="D61" s="1"/>
    </row>
    <row r="62" spans="1:4" ht="12.75" x14ac:dyDescent="0.2">
      <c r="A62" s="1"/>
      <c r="B62" s="4"/>
      <c r="C62" s="4"/>
      <c r="D62" s="1"/>
    </row>
    <row r="63" spans="1:4" ht="12.75" x14ac:dyDescent="0.2">
      <c r="A63" s="1"/>
      <c r="B63" s="4"/>
      <c r="C63" s="4"/>
      <c r="D63" s="1"/>
    </row>
    <row r="64" spans="1:4" ht="12.75" x14ac:dyDescent="0.2">
      <c r="A64" s="1"/>
      <c r="B64" s="4"/>
      <c r="C64" s="4"/>
      <c r="D64" s="1"/>
    </row>
    <row r="65" spans="1:4" ht="12.75" x14ac:dyDescent="0.2">
      <c r="A65" s="1"/>
      <c r="B65" s="4"/>
      <c r="C65" s="4"/>
      <c r="D65" s="1"/>
    </row>
    <row r="66" spans="1:4" ht="12.75" x14ac:dyDescent="0.2">
      <c r="A66" s="1"/>
      <c r="B66" s="4"/>
      <c r="C66" s="4"/>
      <c r="D66" s="1"/>
    </row>
    <row r="67" spans="1:4" ht="12.75" x14ac:dyDescent="0.2">
      <c r="A67" s="1"/>
      <c r="B67" s="4"/>
      <c r="C67" s="4"/>
      <c r="D67" s="1"/>
    </row>
    <row r="68" spans="1:4" ht="12.75" x14ac:dyDescent="0.2">
      <c r="A68" s="1"/>
      <c r="B68" s="4"/>
      <c r="C68" s="4"/>
      <c r="D68" s="1"/>
    </row>
    <row r="69" spans="1:4" ht="12.75" x14ac:dyDescent="0.2">
      <c r="A69" s="1"/>
      <c r="B69" s="4"/>
      <c r="C69" s="4"/>
      <c r="D69" s="1"/>
    </row>
    <row r="70" spans="1:4" ht="12.75" x14ac:dyDescent="0.2">
      <c r="A70" s="1"/>
      <c r="B70" s="4"/>
      <c r="C70" s="4"/>
      <c r="D70" s="1"/>
    </row>
    <row r="71" spans="1:4" ht="12.75" x14ac:dyDescent="0.2">
      <c r="A71" s="1"/>
      <c r="B71" s="4"/>
      <c r="C71" s="4"/>
      <c r="D71" s="1"/>
    </row>
    <row r="72" spans="1:4" ht="12.75" x14ac:dyDescent="0.2">
      <c r="A72" s="1"/>
      <c r="B72" s="4"/>
      <c r="C72" s="4"/>
      <c r="D72" s="1"/>
    </row>
    <row r="73" spans="1:4" ht="12.75" x14ac:dyDescent="0.2">
      <c r="A73" s="1"/>
      <c r="B73" s="4"/>
      <c r="C73" s="4"/>
      <c r="D73" s="1"/>
    </row>
    <row r="74" spans="1:4" ht="12.75" x14ac:dyDescent="0.2">
      <c r="A74" s="1"/>
      <c r="B74" s="4"/>
      <c r="C74" s="4"/>
      <c r="D74" s="1"/>
    </row>
    <row r="75" spans="1:4" ht="12.75" x14ac:dyDescent="0.2">
      <c r="A75" s="1"/>
      <c r="B75" s="4"/>
      <c r="C75" s="4"/>
      <c r="D75" s="1"/>
    </row>
    <row r="76" spans="1:4" ht="12.75" x14ac:dyDescent="0.2">
      <c r="A76" s="1"/>
      <c r="B76" s="4"/>
      <c r="C76" s="4"/>
      <c r="D76" s="1"/>
    </row>
    <row r="77" spans="1:4" ht="12.75" x14ac:dyDescent="0.2">
      <c r="A77" s="1"/>
      <c r="B77" s="4"/>
      <c r="C77" s="4"/>
      <c r="D77" s="1"/>
    </row>
    <row r="78" spans="1:4" ht="12.75" x14ac:dyDescent="0.2">
      <c r="A78" s="1"/>
      <c r="B78" s="4"/>
      <c r="C78" s="4"/>
      <c r="D78" s="1"/>
    </row>
    <row r="79" spans="1:4" ht="12.75" x14ac:dyDescent="0.2">
      <c r="A79" s="1"/>
      <c r="B79" s="4"/>
      <c r="C79" s="4"/>
      <c r="D79" s="1"/>
    </row>
    <row r="80" spans="1:4" ht="12.75" x14ac:dyDescent="0.2">
      <c r="A80" s="1"/>
      <c r="B80" s="4"/>
      <c r="C80" s="4"/>
      <c r="D80" s="1"/>
    </row>
    <row r="81" spans="1:4" ht="12.75" x14ac:dyDescent="0.2">
      <c r="A81" s="1"/>
      <c r="B81" s="4"/>
      <c r="C81" s="4"/>
      <c r="D81" s="1"/>
    </row>
    <row r="82" spans="1:4" ht="12.75" x14ac:dyDescent="0.2">
      <c r="A82" s="1"/>
      <c r="B82" s="4"/>
      <c r="C82" s="4"/>
      <c r="D82" s="1"/>
    </row>
    <row r="83" spans="1:4" ht="12.75" x14ac:dyDescent="0.2">
      <c r="A83" s="1"/>
      <c r="B83" s="4"/>
      <c r="C83" s="4"/>
      <c r="D83" s="1"/>
    </row>
    <row r="84" spans="1:4" ht="12.75" x14ac:dyDescent="0.2">
      <c r="A84" s="1"/>
      <c r="B84" s="4"/>
      <c r="C84" s="4"/>
      <c r="D84" s="1"/>
    </row>
    <row r="85" spans="1:4" ht="12.75" x14ac:dyDescent="0.2">
      <c r="A85" s="1"/>
      <c r="B85" s="4"/>
      <c r="C85" s="4"/>
      <c r="D85" s="1"/>
    </row>
    <row r="86" spans="1:4" ht="12.75" x14ac:dyDescent="0.2">
      <c r="A86" s="1"/>
      <c r="B86" s="4"/>
      <c r="C86" s="4"/>
      <c r="D86" s="1"/>
    </row>
    <row r="87" spans="1:4" ht="12.75" x14ac:dyDescent="0.2">
      <c r="A87" s="1"/>
      <c r="B87" s="4"/>
      <c r="C87" s="4"/>
      <c r="D87" s="1"/>
    </row>
    <row r="88" spans="1:4" ht="12.75" x14ac:dyDescent="0.2">
      <c r="A88" s="1"/>
      <c r="B88" s="4"/>
      <c r="C88" s="4"/>
      <c r="D88" s="1"/>
    </row>
    <row r="89" spans="1:4" ht="12.75" x14ac:dyDescent="0.2">
      <c r="A89" s="1"/>
      <c r="B89" s="4"/>
      <c r="C89" s="4"/>
      <c r="D89" s="1"/>
    </row>
    <row r="90" spans="1:4" ht="12.75" x14ac:dyDescent="0.2">
      <c r="A90" s="1"/>
      <c r="B90" s="4"/>
      <c r="C90" s="4"/>
      <c r="D90" s="1"/>
    </row>
    <row r="91" spans="1:4" ht="12.75" x14ac:dyDescent="0.2">
      <c r="A91" s="1"/>
      <c r="B91" s="4"/>
      <c r="C91" s="4"/>
      <c r="D91" s="1"/>
    </row>
    <row r="92" spans="1:4" ht="12.75" x14ac:dyDescent="0.2">
      <c r="A92" s="1"/>
      <c r="B92" s="4"/>
      <c r="C92" s="4"/>
      <c r="D92" s="1"/>
    </row>
    <row r="93" spans="1:4" ht="12.75" x14ac:dyDescent="0.2">
      <c r="A93" s="1"/>
      <c r="B93" s="4"/>
      <c r="C93" s="4"/>
      <c r="D93" s="1"/>
    </row>
    <row r="94" spans="1:4" ht="12.75" x14ac:dyDescent="0.2">
      <c r="A94" s="1"/>
      <c r="B94" s="4"/>
      <c r="C94" s="4"/>
      <c r="D94" s="1"/>
    </row>
    <row r="95" spans="1:4" ht="12.75" x14ac:dyDescent="0.2">
      <c r="A95" s="1"/>
      <c r="B95" s="4"/>
      <c r="C95" s="4"/>
      <c r="D95" s="1"/>
    </row>
    <row r="96" spans="1:4" ht="12.75" x14ac:dyDescent="0.2">
      <c r="A96" s="1"/>
      <c r="B96" s="4"/>
      <c r="C96" s="4"/>
      <c r="D96" s="1"/>
    </row>
    <row r="97" spans="1:4" ht="12.75" x14ac:dyDescent="0.2">
      <c r="A97" s="1"/>
      <c r="B97" s="4"/>
      <c r="C97" s="4"/>
      <c r="D97" s="1"/>
    </row>
    <row r="98" spans="1:4" ht="12.75" x14ac:dyDescent="0.2">
      <c r="A98" s="1"/>
      <c r="B98" s="4"/>
      <c r="C98" s="4"/>
      <c r="D98" s="1"/>
    </row>
    <row r="99" spans="1:4" ht="12.75" x14ac:dyDescent="0.2">
      <c r="A99" s="1"/>
      <c r="B99" s="4"/>
      <c r="C99" s="4"/>
      <c r="D99" s="1"/>
    </row>
    <row r="100" spans="1:4" ht="12.75" x14ac:dyDescent="0.2">
      <c r="A100" s="1"/>
      <c r="B100" s="4"/>
      <c r="C100" s="4"/>
      <c r="D100" s="1"/>
    </row>
    <row r="101" spans="1:4" ht="12.75" x14ac:dyDescent="0.2">
      <c r="A101" s="1"/>
      <c r="B101" s="4"/>
      <c r="C101" s="4"/>
      <c r="D101" s="1"/>
    </row>
    <row r="102" spans="1:4" ht="12.75" x14ac:dyDescent="0.2">
      <c r="A102" s="1"/>
      <c r="B102" s="4"/>
      <c r="C102" s="4"/>
      <c r="D102" s="1"/>
    </row>
    <row r="103" spans="1:4" ht="12.75" x14ac:dyDescent="0.2">
      <c r="A103" s="1"/>
      <c r="B103" s="4"/>
      <c r="C103" s="4"/>
      <c r="D103" s="1"/>
    </row>
    <row r="104" spans="1:4" ht="12.75" x14ac:dyDescent="0.2">
      <c r="A104" s="1"/>
      <c r="B104" s="4"/>
      <c r="C104" s="4"/>
      <c r="D104" s="1"/>
    </row>
    <row r="105" spans="1:4" ht="12.75" x14ac:dyDescent="0.2">
      <c r="A105" s="1"/>
      <c r="B105" s="4"/>
      <c r="C105" s="4"/>
      <c r="D105" s="1"/>
    </row>
    <row r="106" spans="1:4" ht="12.75" x14ac:dyDescent="0.2">
      <c r="A106" s="1"/>
      <c r="B106" s="4"/>
      <c r="C106" s="4"/>
      <c r="D106" s="1"/>
    </row>
    <row r="107" spans="1:4" ht="12.75" x14ac:dyDescent="0.2">
      <c r="A107" s="1"/>
      <c r="B107" s="4"/>
      <c r="C107" s="4"/>
      <c r="D107" s="1"/>
    </row>
    <row r="108" spans="1:4" ht="12.75" x14ac:dyDescent="0.2">
      <c r="A108" s="1"/>
      <c r="B108" s="4"/>
      <c r="C108" s="4"/>
      <c r="D108" s="1"/>
    </row>
    <row r="109" spans="1:4" ht="12.75" x14ac:dyDescent="0.2">
      <c r="A109" s="1"/>
      <c r="B109" s="4"/>
      <c r="C109" s="4"/>
      <c r="D109" s="1"/>
    </row>
    <row r="110" spans="1:4" ht="12.75" x14ac:dyDescent="0.2">
      <c r="A110" s="1"/>
      <c r="B110" s="4"/>
      <c r="C110" s="4"/>
      <c r="D110" s="1"/>
    </row>
    <row r="111" spans="1:4" ht="12.75" x14ac:dyDescent="0.2">
      <c r="A111" s="1"/>
      <c r="B111" s="4"/>
      <c r="C111" s="4"/>
      <c r="D111" s="1"/>
    </row>
    <row r="112" spans="1:4" ht="12.75" x14ac:dyDescent="0.2">
      <c r="A112" s="1"/>
      <c r="B112" s="4"/>
      <c r="C112" s="4"/>
      <c r="D112" s="1"/>
    </row>
    <row r="113" spans="1:4" ht="12.75" x14ac:dyDescent="0.2">
      <c r="A113" s="1"/>
      <c r="B113" s="4"/>
      <c r="C113" s="4"/>
      <c r="D113" s="1"/>
    </row>
    <row r="114" spans="1:4" ht="12.75" x14ac:dyDescent="0.2">
      <c r="A114" s="1"/>
      <c r="B114" s="4"/>
      <c r="C114" s="4"/>
      <c r="D114" s="1"/>
    </row>
    <row r="115" spans="1:4" ht="12.75" x14ac:dyDescent="0.2">
      <c r="A115" s="1"/>
      <c r="B115" s="4"/>
      <c r="C115" s="4"/>
      <c r="D115" s="1"/>
    </row>
    <row r="116" spans="1:4" ht="12.75" x14ac:dyDescent="0.2">
      <c r="A116" s="1"/>
      <c r="B116" s="4"/>
      <c r="C116" s="4"/>
      <c r="D116" s="1"/>
    </row>
    <row r="117" spans="1:4" ht="12.75" x14ac:dyDescent="0.2">
      <c r="A117" s="1"/>
      <c r="B117" s="4"/>
      <c r="C117" s="4"/>
      <c r="D117" s="1"/>
    </row>
    <row r="118" spans="1:4" ht="12.75" x14ac:dyDescent="0.2">
      <c r="A118" s="1"/>
      <c r="B118" s="4"/>
      <c r="C118" s="4"/>
      <c r="D118" s="1"/>
    </row>
    <row r="119" spans="1:4" ht="12.75" x14ac:dyDescent="0.2">
      <c r="A119" s="1"/>
      <c r="B119" s="4"/>
      <c r="C119" s="4"/>
      <c r="D119" s="1"/>
    </row>
    <row r="120" spans="1:4" ht="12.75" x14ac:dyDescent="0.2">
      <c r="A120" s="1"/>
      <c r="B120" s="4"/>
      <c r="C120" s="4"/>
      <c r="D120" s="1"/>
    </row>
    <row r="121" spans="1:4" ht="12.75" x14ac:dyDescent="0.2">
      <c r="A121" s="1"/>
      <c r="B121" s="4"/>
      <c r="C121" s="4"/>
      <c r="D121" s="1"/>
    </row>
    <row r="122" spans="1:4" ht="12.75" x14ac:dyDescent="0.2">
      <c r="A122" s="1"/>
      <c r="B122" s="4"/>
      <c r="C122" s="4"/>
      <c r="D122" s="1"/>
    </row>
    <row r="123" spans="1:4" ht="12.75" x14ac:dyDescent="0.2">
      <c r="A123" s="1"/>
      <c r="B123" s="4"/>
      <c r="C123" s="4"/>
      <c r="D123" s="1"/>
    </row>
    <row r="124" spans="1:4" ht="12.75" x14ac:dyDescent="0.2">
      <c r="A124" s="1"/>
      <c r="B124" s="4"/>
      <c r="C124" s="4"/>
      <c r="D124" s="1"/>
    </row>
    <row r="125" spans="1:4" ht="12.75" x14ac:dyDescent="0.2">
      <c r="A125" s="1"/>
      <c r="B125" s="4"/>
      <c r="C125" s="4"/>
      <c r="D125" s="1"/>
    </row>
    <row r="126" spans="1:4" ht="12.75" x14ac:dyDescent="0.2">
      <c r="A126" s="1"/>
      <c r="B126" s="4"/>
      <c r="C126" s="4"/>
      <c r="D126" s="1"/>
    </row>
    <row r="127" spans="1:4" ht="12.75" x14ac:dyDescent="0.2">
      <c r="A127" s="1"/>
      <c r="B127" s="4"/>
      <c r="C127" s="4"/>
      <c r="D127" s="1"/>
    </row>
    <row r="128" spans="1:4" ht="12.75" x14ac:dyDescent="0.2">
      <c r="A128" s="1"/>
      <c r="B128" s="4"/>
      <c r="C128" s="4"/>
      <c r="D128" s="1"/>
    </row>
    <row r="129" spans="1:4" ht="12.75" x14ac:dyDescent="0.2">
      <c r="A129" s="1"/>
      <c r="B129" s="4"/>
      <c r="C129" s="4"/>
      <c r="D129" s="1"/>
    </row>
    <row r="130" spans="1:4" ht="12.75" x14ac:dyDescent="0.2">
      <c r="A130" s="1"/>
      <c r="B130" s="4"/>
      <c r="C130" s="4"/>
      <c r="D130" s="1"/>
    </row>
    <row r="131" spans="1:4" ht="12.75" x14ac:dyDescent="0.2">
      <c r="A131" s="1"/>
      <c r="B131" s="4"/>
      <c r="C131" s="4"/>
      <c r="D131" s="1"/>
    </row>
    <row r="132" spans="1:4" ht="12.75" x14ac:dyDescent="0.2">
      <c r="A132" s="1"/>
      <c r="B132" s="4"/>
      <c r="C132" s="4"/>
      <c r="D132" s="1"/>
    </row>
    <row r="133" spans="1:4" ht="12.75" x14ac:dyDescent="0.2">
      <c r="A133" s="1"/>
      <c r="B133" s="4"/>
      <c r="C133" s="4"/>
      <c r="D133" s="1"/>
    </row>
    <row r="134" spans="1:4" ht="12.75" x14ac:dyDescent="0.2">
      <c r="A134" s="1"/>
      <c r="B134" s="4"/>
      <c r="C134" s="4"/>
      <c r="D134" s="1"/>
    </row>
    <row r="135" spans="1:4" ht="12.75" x14ac:dyDescent="0.2">
      <c r="A135" s="1"/>
      <c r="B135" s="4"/>
      <c r="C135" s="4"/>
      <c r="D135" s="1"/>
    </row>
    <row r="136" spans="1:4" ht="12.75" x14ac:dyDescent="0.2">
      <c r="A136" s="1"/>
      <c r="B136" s="4"/>
      <c r="C136" s="4"/>
      <c r="D136" s="1"/>
    </row>
    <row r="137" spans="1:4" ht="12.75" x14ac:dyDescent="0.2">
      <c r="A137" s="1"/>
      <c r="B137" s="4"/>
      <c r="C137" s="4"/>
      <c r="D137" s="1"/>
    </row>
    <row r="138" spans="1:4" ht="12.75" x14ac:dyDescent="0.2">
      <c r="A138" s="1"/>
      <c r="B138" s="4"/>
      <c r="C138" s="4"/>
      <c r="D138" s="1"/>
    </row>
    <row r="139" spans="1:4" ht="12.75" x14ac:dyDescent="0.2">
      <c r="A139" s="1"/>
      <c r="B139" s="4"/>
      <c r="C139" s="4"/>
      <c r="D139" s="1"/>
    </row>
    <row r="140" spans="1:4" ht="12.75" x14ac:dyDescent="0.2">
      <c r="A140" s="1"/>
      <c r="B140" s="4"/>
      <c r="C140" s="4"/>
      <c r="D140" s="1"/>
    </row>
    <row r="141" spans="1:4" ht="12.75" x14ac:dyDescent="0.2">
      <c r="A141" s="1"/>
      <c r="B141" s="4"/>
      <c r="C141" s="4"/>
      <c r="D141" s="1"/>
    </row>
    <row r="142" spans="1:4" ht="12.75" x14ac:dyDescent="0.2">
      <c r="A142" s="1"/>
      <c r="B142" s="4"/>
      <c r="C142" s="4"/>
      <c r="D142" s="1"/>
    </row>
    <row r="143" spans="1:4" ht="12.75" x14ac:dyDescent="0.2">
      <c r="A143" s="1"/>
      <c r="B143" s="4"/>
      <c r="C143" s="4"/>
      <c r="D143" s="1"/>
    </row>
    <row r="144" spans="1:4" ht="12.75" x14ac:dyDescent="0.2">
      <c r="A144" s="1"/>
      <c r="B144" s="4"/>
      <c r="C144" s="4"/>
      <c r="D144" s="1"/>
    </row>
    <row r="145" spans="1:4" ht="12.75" x14ac:dyDescent="0.2">
      <c r="A145" s="1"/>
      <c r="B145" s="4"/>
      <c r="C145" s="4"/>
      <c r="D145" s="1"/>
    </row>
    <row r="146" spans="1:4" ht="12.75" x14ac:dyDescent="0.2">
      <c r="A146" s="1"/>
      <c r="B146" s="4"/>
      <c r="C146" s="4"/>
      <c r="D146" s="1"/>
    </row>
    <row r="147" spans="1:4" ht="12.75" x14ac:dyDescent="0.2">
      <c r="A147" s="1"/>
      <c r="B147" s="4"/>
      <c r="C147" s="4"/>
      <c r="D147" s="1"/>
    </row>
    <row r="148" spans="1:4" ht="12.75" x14ac:dyDescent="0.2">
      <c r="A148" s="1"/>
      <c r="B148" s="4"/>
      <c r="C148" s="4"/>
      <c r="D148" s="1"/>
    </row>
    <row r="149" spans="1:4" ht="12.75" x14ac:dyDescent="0.2">
      <c r="A149" s="1"/>
      <c r="B149" s="4"/>
      <c r="C149" s="4"/>
      <c r="D149" s="1"/>
    </row>
    <row r="150" spans="1:4" ht="12.75" x14ac:dyDescent="0.2">
      <c r="A150" s="1"/>
      <c r="B150" s="4"/>
      <c r="C150" s="4"/>
      <c r="D150" s="1"/>
    </row>
    <row r="151" spans="1:4" ht="12.75" x14ac:dyDescent="0.2">
      <c r="A151" s="1"/>
      <c r="B151" s="4"/>
      <c r="C151" s="4"/>
      <c r="D151" s="1"/>
    </row>
    <row r="152" spans="1:4" ht="12.75" x14ac:dyDescent="0.2">
      <c r="A152" s="1"/>
      <c r="B152" s="4"/>
      <c r="C152" s="4"/>
      <c r="D152" s="1"/>
    </row>
    <row r="153" spans="1:4" ht="12.75" x14ac:dyDescent="0.2">
      <c r="A153" s="1"/>
      <c r="B153" s="4"/>
      <c r="C153" s="4"/>
      <c r="D153" s="1"/>
    </row>
    <row r="154" spans="1:4" ht="12.75" x14ac:dyDescent="0.2">
      <c r="A154" s="1"/>
      <c r="B154" s="4"/>
      <c r="C154" s="4"/>
      <c r="D154" s="1"/>
    </row>
    <row r="155" spans="1:4" ht="12.75" x14ac:dyDescent="0.2">
      <c r="A155" s="1"/>
      <c r="B155" s="4"/>
      <c r="C155" s="4"/>
      <c r="D155" s="1"/>
    </row>
    <row r="156" spans="1:4" ht="12.75" x14ac:dyDescent="0.2">
      <c r="A156" s="1"/>
      <c r="B156" s="4"/>
      <c r="C156" s="4"/>
      <c r="D156" s="1"/>
    </row>
    <row r="157" spans="1:4" ht="12.75" x14ac:dyDescent="0.2">
      <c r="A157" s="1"/>
      <c r="B157" s="4"/>
      <c r="C157" s="4"/>
      <c r="D157" s="1"/>
    </row>
    <row r="158" spans="1:4" ht="12.75" x14ac:dyDescent="0.2">
      <c r="A158" s="1"/>
      <c r="B158" s="4"/>
      <c r="C158" s="4"/>
      <c r="D158" s="1"/>
    </row>
    <row r="159" spans="1:4" ht="12.75" x14ac:dyDescent="0.2">
      <c r="A159" s="1"/>
      <c r="B159" s="4"/>
      <c r="C159" s="4"/>
      <c r="D159" s="1"/>
    </row>
    <row r="160" spans="1:4" ht="12.75" x14ac:dyDescent="0.2">
      <c r="A160" s="1"/>
      <c r="B160" s="4"/>
      <c r="C160" s="4"/>
      <c r="D160" s="1"/>
    </row>
    <row r="161" spans="1:4" ht="12.75" x14ac:dyDescent="0.2">
      <c r="A161" s="1"/>
      <c r="B161" s="4"/>
      <c r="C161" s="4"/>
      <c r="D161" s="1"/>
    </row>
    <row r="162" spans="1:4" ht="12.75" x14ac:dyDescent="0.2">
      <c r="A162" s="1"/>
      <c r="B162" s="4"/>
      <c r="C162" s="4"/>
      <c r="D162" s="1"/>
    </row>
    <row r="163" spans="1:4" ht="12.75" x14ac:dyDescent="0.2">
      <c r="A163" s="1"/>
      <c r="B163" s="4"/>
      <c r="C163" s="4"/>
      <c r="D163" s="1"/>
    </row>
    <row r="164" spans="1:4" ht="12.75" x14ac:dyDescent="0.2">
      <c r="A164" s="1"/>
      <c r="B164" s="4"/>
      <c r="C164" s="4"/>
      <c r="D164" s="1"/>
    </row>
    <row r="165" spans="1:4" ht="12.75" x14ac:dyDescent="0.2">
      <c r="A165" s="1"/>
      <c r="B165" s="4"/>
      <c r="C165" s="4"/>
      <c r="D165" s="1"/>
    </row>
    <row r="166" spans="1:4" ht="12.75" x14ac:dyDescent="0.2">
      <c r="A166" s="1"/>
      <c r="B166" s="4"/>
      <c r="C166" s="4"/>
      <c r="D166" s="1"/>
    </row>
    <row r="167" spans="1:4" ht="12.75" x14ac:dyDescent="0.2">
      <c r="A167" s="1"/>
      <c r="B167" s="4"/>
      <c r="C167" s="4"/>
      <c r="D167" s="1"/>
    </row>
    <row r="168" spans="1:4" ht="12.75" x14ac:dyDescent="0.2">
      <c r="A168" s="1"/>
      <c r="B168" s="4"/>
      <c r="C168" s="4"/>
      <c r="D168" s="1"/>
    </row>
    <row r="169" spans="1:4" ht="12.75" x14ac:dyDescent="0.2">
      <c r="A169" s="1"/>
      <c r="B169" s="4"/>
      <c r="C169" s="4"/>
      <c r="D169" s="1"/>
    </row>
    <row r="170" spans="1:4" ht="12.75" x14ac:dyDescent="0.2">
      <c r="A170" s="1"/>
      <c r="B170" s="4"/>
      <c r="C170" s="4"/>
      <c r="D170" s="1"/>
    </row>
    <row r="171" spans="1:4" ht="12.75" x14ac:dyDescent="0.2">
      <c r="A171" s="1"/>
      <c r="B171" s="4"/>
      <c r="C171" s="4"/>
      <c r="D171" s="1"/>
    </row>
    <row r="172" spans="1:4" ht="12.75" x14ac:dyDescent="0.2">
      <c r="A172" s="1"/>
      <c r="B172" s="4"/>
      <c r="C172" s="4"/>
      <c r="D172" s="1"/>
    </row>
    <row r="173" spans="1:4" ht="12.75" x14ac:dyDescent="0.2">
      <c r="A173" s="1"/>
      <c r="B173" s="4"/>
      <c r="C173" s="4"/>
      <c r="D173" s="1"/>
    </row>
    <row r="174" spans="1:4" ht="12.75" x14ac:dyDescent="0.2">
      <c r="A174" s="1"/>
      <c r="B174" s="4"/>
      <c r="C174" s="4"/>
      <c r="D174" s="1"/>
    </row>
    <row r="175" spans="1:4" ht="12.75" x14ac:dyDescent="0.2">
      <c r="A175" s="1"/>
      <c r="B175" s="4"/>
      <c r="C175" s="4"/>
      <c r="D175" s="1"/>
    </row>
    <row r="176" spans="1:4" ht="12.75" x14ac:dyDescent="0.2">
      <c r="A176" s="1"/>
      <c r="B176" s="4"/>
      <c r="C176" s="4"/>
      <c r="D176" s="1"/>
    </row>
    <row r="177" spans="1:4" ht="12.75" x14ac:dyDescent="0.2">
      <c r="A177" s="1"/>
      <c r="B177" s="4"/>
      <c r="C177" s="4"/>
      <c r="D177" s="1"/>
    </row>
    <row r="178" spans="1:4" ht="12.75" x14ac:dyDescent="0.2">
      <c r="A178" s="1"/>
      <c r="B178" s="4"/>
      <c r="C178" s="4"/>
      <c r="D178" s="1"/>
    </row>
    <row r="179" spans="1:4" ht="12.75" x14ac:dyDescent="0.2">
      <c r="A179" s="1"/>
      <c r="B179" s="4"/>
      <c r="C179" s="4"/>
      <c r="D179" s="1"/>
    </row>
    <row r="180" spans="1:4" ht="12.75" x14ac:dyDescent="0.2">
      <c r="A180" s="1"/>
      <c r="B180" s="4"/>
      <c r="C180" s="4"/>
      <c r="D180" s="1"/>
    </row>
    <row r="181" spans="1:4" ht="12.75" x14ac:dyDescent="0.2">
      <c r="A181" s="1"/>
      <c r="B181" s="4"/>
      <c r="C181" s="4"/>
      <c r="D181" s="1"/>
    </row>
    <row r="182" spans="1:4" ht="12.75" x14ac:dyDescent="0.2">
      <c r="A182" s="1"/>
      <c r="B182" s="4"/>
      <c r="C182" s="4"/>
      <c r="D182" s="1"/>
    </row>
    <row r="183" spans="1:4" ht="12.75" x14ac:dyDescent="0.2">
      <c r="A183" s="1"/>
      <c r="B183" s="4"/>
      <c r="C183" s="4"/>
      <c r="D183" s="1"/>
    </row>
    <row r="184" spans="1:4" ht="12.75" x14ac:dyDescent="0.2">
      <c r="A184" s="1"/>
      <c r="B184" s="4"/>
      <c r="C184" s="4"/>
      <c r="D184" s="1"/>
    </row>
    <row r="185" spans="1:4" ht="12.75" x14ac:dyDescent="0.2">
      <c r="A185" s="1"/>
      <c r="B185" s="4"/>
      <c r="C185" s="4"/>
      <c r="D185" s="1"/>
    </row>
    <row r="186" spans="1:4" ht="12.75" x14ac:dyDescent="0.2">
      <c r="A186" s="1"/>
      <c r="B186" s="4"/>
      <c r="C186" s="4"/>
      <c r="D186" s="1"/>
    </row>
    <row r="187" spans="1:4" ht="12.75" x14ac:dyDescent="0.2">
      <c r="A187" s="1"/>
      <c r="B187" s="4"/>
      <c r="C187" s="4"/>
      <c r="D187" s="1"/>
    </row>
    <row r="188" spans="1:4" ht="12.75" x14ac:dyDescent="0.2">
      <c r="A188" s="1"/>
      <c r="B188" s="4"/>
      <c r="C188" s="4"/>
      <c r="D188" s="1"/>
    </row>
    <row r="189" spans="1:4" ht="12.75" x14ac:dyDescent="0.2">
      <c r="A189" s="1"/>
      <c r="B189" s="4"/>
      <c r="C189" s="4"/>
      <c r="D189" s="1"/>
    </row>
    <row r="190" spans="1:4" ht="12.75" x14ac:dyDescent="0.2">
      <c r="A190" s="1"/>
      <c r="B190" s="4"/>
      <c r="C190" s="4"/>
      <c r="D190" s="1"/>
    </row>
    <row r="191" spans="1:4" ht="12.75" x14ac:dyDescent="0.2">
      <c r="A191" s="1"/>
      <c r="B191" s="4"/>
      <c r="C191" s="4"/>
      <c r="D191" s="1"/>
    </row>
    <row r="192" spans="1:4" ht="12.75" x14ac:dyDescent="0.2">
      <c r="A192" s="1"/>
      <c r="B192" s="4"/>
      <c r="C192" s="4"/>
      <c r="D192" s="1"/>
    </row>
    <row r="193" spans="1:4" ht="12.75" x14ac:dyDescent="0.2">
      <c r="A193" s="1"/>
      <c r="B193" s="4"/>
      <c r="C193" s="4"/>
      <c r="D193" s="1"/>
    </row>
    <row r="194" spans="1:4" ht="12.75" x14ac:dyDescent="0.2">
      <c r="A194" s="1"/>
      <c r="B194" s="4"/>
      <c r="C194" s="4"/>
      <c r="D194" s="1"/>
    </row>
    <row r="195" spans="1:4" ht="12.75" x14ac:dyDescent="0.2">
      <c r="A195" s="1"/>
      <c r="B195" s="4"/>
      <c r="C195" s="4"/>
      <c r="D195" s="1"/>
    </row>
    <row r="196" spans="1:4" ht="12.75" x14ac:dyDescent="0.2">
      <c r="A196" s="1"/>
      <c r="B196" s="4"/>
      <c r="C196" s="4"/>
      <c r="D196" s="1"/>
    </row>
    <row r="197" spans="1:4" ht="12.75" x14ac:dyDescent="0.2">
      <c r="A197" s="1"/>
      <c r="B197" s="4"/>
      <c r="C197" s="4"/>
      <c r="D197" s="1"/>
    </row>
    <row r="198" spans="1:4" ht="12.75" x14ac:dyDescent="0.2">
      <c r="A198" s="1"/>
      <c r="B198" s="4"/>
      <c r="C198" s="4"/>
      <c r="D198" s="1"/>
    </row>
    <row r="199" spans="1:4" ht="12.75" x14ac:dyDescent="0.2">
      <c r="A199" s="1"/>
      <c r="B199" s="4"/>
      <c r="C199" s="4"/>
      <c r="D199" s="1"/>
    </row>
    <row r="200" spans="1:4" ht="12.75" x14ac:dyDescent="0.2">
      <c r="A200" s="1"/>
      <c r="B200" s="4"/>
      <c r="C200" s="4"/>
      <c r="D200" s="1"/>
    </row>
    <row r="201" spans="1:4" ht="12.75" x14ac:dyDescent="0.2">
      <c r="A201" s="1"/>
      <c r="B201" s="4"/>
      <c r="C201" s="4"/>
      <c r="D201" s="1"/>
    </row>
    <row r="202" spans="1:4" ht="12.75" x14ac:dyDescent="0.2">
      <c r="A202" s="1"/>
      <c r="B202" s="4"/>
      <c r="C202" s="4"/>
      <c r="D202" s="1"/>
    </row>
    <row r="203" spans="1:4" ht="12.75" x14ac:dyDescent="0.2">
      <c r="A203" s="1"/>
      <c r="B203" s="4"/>
      <c r="C203" s="4"/>
      <c r="D203" s="1"/>
    </row>
    <row r="204" spans="1:4" ht="12.75" x14ac:dyDescent="0.2">
      <c r="A204" s="1"/>
      <c r="B204" s="4"/>
      <c r="C204" s="4"/>
      <c r="D204" s="1"/>
    </row>
    <row r="205" spans="1:4" ht="12.75" x14ac:dyDescent="0.2">
      <c r="A205" s="1"/>
      <c r="B205" s="4"/>
      <c r="C205" s="4"/>
      <c r="D205" s="1"/>
    </row>
    <row r="206" spans="1:4" ht="12.75" x14ac:dyDescent="0.2">
      <c r="A206" s="1"/>
      <c r="B206" s="4"/>
      <c r="C206" s="4"/>
      <c r="D206" s="1"/>
    </row>
    <row r="207" spans="1:4" ht="12.75" x14ac:dyDescent="0.2">
      <c r="A207" s="1"/>
      <c r="B207" s="4"/>
      <c r="C207" s="4"/>
      <c r="D207" s="1"/>
    </row>
    <row r="208" spans="1:4" ht="12.75" x14ac:dyDescent="0.2">
      <c r="A208" s="1"/>
      <c r="B208" s="4"/>
      <c r="C208" s="4"/>
      <c r="D208" s="1"/>
    </row>
    <row r="209" spans="1:4" ht="12.75" x14ac:dyDescent="0.2">
      <c r="A209" s="1"/>
      <c r="B209" s="4"/>
      <c r="C209" s="4"/>
      <c r="D209" s="1"/>
    </row>
    <row r="210" spans="1:4" ht="12.75" x14ac:dyDescent="0.2">
      <c r="A210" s="1"/>
      <c r="B210" s="4"/>
      <c r="C210" s="4"/>
      <c r="D210" s="1"/>
    </row>
    <row r="211" spans="1:4" ht="12.75" x14ac:dyDescent="0.2">
      <c r="A211" s="1"/>
      <c r="B211" s="4"/>
      <c r="C211" s="4"/>
      <c r="D211" s="1"/>
    </row>
    <row r="212" spans="1:4" ht="12.75" x14ac:dyDescent="0.2">
      <c r="A212" s="1"/>
      <c r="B212" s="4"/>
      <c r="C212" s="4"/>
      <c r="D212" s="1"/>
    </row>
    <row r="213" spans="1:4" ht="12.75" x14ac:dyDescent="0.2">
      <c r="A213" s="1"/>
      <c r="B213" s="4"/>
      <c r="C213" s="4"/>
      <c r="D213" s="1"/>
    </row>
    <row r="214" spans="1:4" ht="12.75" x14ac:dyDescent="0.2">
      <c r="A214" s="1"/>
      <c r="B214" s="4"/>
      <c r="C214" s="4"/>
      <c r="D214" s="1"/>
    </row>
    <row r="215" spans="1:4" ht="12.75" x14ac:dyDescent="0.2">
      <c r="A215" s="1"/>
      <c r="B215" s="4"/>
      <c r="C215" s="4"/>
      <c r="D215" s="1"/>
    </row>
    <row r="216" spans="1:4" ht="12.75" x14ac:dyDescent="0.2">
      <c r="A216" s="1"/>
      <c r="B216" s="4"/>
      <c r="C216" s="4"/>
      <c r="D216" s="1"/>
    </row>
    <row r="217" spans="1:4" ht="12.75" x14ac:dyDescent="0.2">
      <c r="A217" s="1"/>
      <c r="B217" s="4"/>
      <c r="C217" s="4"/>
      <c r="D217" s="1"/>
    </row>
    <row r="218" spans="1:4" ht="12.75" x14ac:dyDescent="0.2">
      <c r="A218" s="1"/>
      <c r="B218" s="4"/>
      <c r="C218" s="4"/>
      <c r="D218" s="1"/>
    </row>
    <row r="219" spans="1:4" ht="12.75" x14ac:dyDescent="0.2">
      <c r="A219" s="1"/>
      <c r="B219" s="4"/>
      <c r="C219" s="4"/>
      <c r="D219" s="1"/>
    </row>
    <row r="220" spans="1:4" ht="12.75" x14ac:dyDescent="0.2">
      <c r="A220" s="1"/>
      <c r="B220" s="4"/>
      <c r="C220" s="4"/>
      <c r="D220" s="1"/>
    </row>
    <row r="221" spans="1:4" ht="12.75" x14ac:dyDescent="0.2">
      <c r="A221" s="1"/>
      <c r="B221" s="4"/>
      <c r="C221" s="4"/>
      <c r="D221" s="1"/>
    </row>
    <row r="222" spans="1:4" ht="12.75" x14ac:dyDescent="0.2">
      <c r="A222" s="1"/>
      <c r="B222" s="4"/>
      <c r="C222" s="4"/>
      <c r="D222" s="1"/>
    </row>
    <row r="223" spans="1:4" ht="12.75" x14ac:dyDescent="0.2">
      <c r="A223" s="1"/>
      <c r="B223" s="4"/>
      <c r="C223" s="4"/>
      <c r="D223" s="1"/>
    </row>
    <row r="224" spans="1:4" ht="12.75" x14ac:dyDescent="0.2">
      <c r="A224" s="1"/>
      <c r="B224" s="4"/>
      <c r="C224" s="4"/>
      <c r="D224" s="1"/>
    </row>
    <row r="225" spans="1:4" ht="12.75" x14ac:dyDescent="0.2">
      <c r="A225" s="1"/>
      <c r="B225" s="4"/>
      <c r="C225" s="4"/>
      <c r="D225" s="1"/>
    </row>
    <row r="226" spans="1:4" ht="12.75" x14ac:dyDescent="0.2">
      <c r="A226" s="1"/>
      <c r="B226" s="4"/>
      <c r="C226" s="4"/>
      <c r="D226" s="1"/>
    </row>
    <row r="227" spans="1:4" ht="12.75" x14ac:dyDescent="0.2">
      <c r="A227" s="1"/>
      <c r="B227" s="4"/>
      <c r="C227" s="4"/>
      <c r="D227" s="1"/>
    </row>
    <row r="228" spans="1:4" ht="12.75" x14ac:dyDescent="0.2">
      <c r="A228" s="1"/>
      <c r="B228" s="4"/>
      <c r="C228" s="4"/>
      <c r="D228" s="1"/>
    </row>
    <row r="229" spans="1:4" ht="12.75" x14ac:dyDescent="0.2">
      <c r="A229" s="1"/>
      <c r="B229" s="4"/>
      <c r="C229" s="4"/>
      <c r="D229" s="1"/>
    </row>
    <row r="230" spans="1:4" ht="12.75" x14ac:dyDescent="0.2">
      <c r="A230" s="1"/>
      <c r="B230" s="4"/>
      <c r="C230" s="4"/>
      <c r="D230" s="1"/>
    </row>
    <row r="231" spans="1:4" ht="12.75" x14ac:dyDescent="0.2">
      <c r="A231" s="1"/>
      <c r="B231" s="4"/>
      <c r="C231" s="4"/>
      <c r="D231" s="1"/>
    </row>
    <row r="232" spans="1:4" ht="12.75" x14ac:dyDescent="0.2">
      <c r="A232" s="1"/>
      <c r="B232" s="4"/>
      <c r="C232" s="4"/>
      <c r="D232" s="1"/>
    </row>
    <row r="233" spans="1:4" ht="12.75" x14ac:dyDescent="0.2">
      <c r="A233" s="1"/>
      <c r="B233" s="4"/>
      <c r="C233" s="4"/>
      <c r="D233" s="1"/>
    </row>
    <row r="234" spans="1:4" ht="12.75" x14ac:dyDescent="0.2">
      <c r="A234" s="1"/>
      <c r="B234" s="4"/>
      <c r="C234" s="4"/>
      <c r="D234" s="1"/>
    </row>
    <row r="235" spans="1:4" ht="12.75" x14ac:dyDescent="0.2">
      <c r="A235" s="1"/>
      <c r="B235" s="4"/>
      <c r="C235" s="4"/>
      <c r="D235" s="1"/>
    </row>
    <row r="236" spans="1:4" ht="12.75" x14ac:dyDescent="0.2">
      <c r="A236" s="1"/>
      <c r="B236" s="4"/>
      <c r="C236" s="4"/>
      <c r="D236" s="1"/>
    </row>
    <row r="237" spans="1:4" ht="12.75" x14ac:dyDescent="0.2">
      <c r="A237" s="1"/>
      <c r="B237" s="4"/>
      <c r="C237" s="4"/>
      <c r="D237" s="1"/>
    </row>
    <row r="238" spans="1:4" ht="12.75" x14ac:dyDescent="0.2">
      <c r="A238" s="1"/>
      <c r="B238" s="4"/>
      <c r="C238" s="4"/>
      <c r="D238" s="1"/>
    </row>
    <row r="239" spans="1:4" ht="12.75" x14ac:dyDescent="0.2">
      <c r="A239" s="1"/>
      <c r="B239" s="4"/>
      <c r="C239" s="4"/>
      <c r="D239" s="1"/>
    </row>
    <row r="240" spans="1:4" ht="12.75" x14ac:dyDescent="0.2">
      <c r="A240" s="1"/>
      <c r="B240" s="4"/>
      <c r="C240" s="4"/>
      <c r="D240" s="1"/>
    </row>
    <row r="241" spans="1:4" ht="12.75" x14ac:dyDescent="0.2">
      <c r="A241" s="1"/>
      <c r="B241" s="4"/>
      <c r="C241" s="4"/>
      <c r="D241" s="1"/>
    </row>
    <row r="242" spans="1:4" ht="12.75" x14ac:dyDescent="0.2">
      <c r="A242" s="1"/>
      <c r="B242" s="4"/>
      <c r="C242" s="4"/>
      <c r="D242" s="1"/>
    </row>
    <row r="243" spans="1:4" ht="12.75" x14ac:dyDescent="0.2">
      <c r="A243" s="1"/>
      <c r="B243" s="4"/>
      <c r="C243" s="4"/>
      <c r="D243" s="1"/>
    </row>
    <row r="244" spans="1:4" ht="12.75" x14ac:dyDescent="0.2">
      <c r="A244" s="1"/>
      <c r="B244" s="4"/>
      <c r="C244" s="4"/>
      <c r="D244" s="1"/>
    </row>
    <row r="245" spans="1:4" ht="12.75" x14ac:dyDescent="0.2">
      <c r="A245" s="1"/>
      <c r="B245" s="4"/>
      <c r="C245" s="4"/>
      <c r="D245" s="1"/>
    </row>
    <row r="246" spans="1:4" ht="12.75" x14ac:dyDescent="0.2">
      <c r="A246" s="1"/>
      <c r="B246" s="4"/>
      <c r="C246" s="4"/>
      <c r="D246" s="1"/>
    </row>
    <row r="247" spans="1:4" ht="12.75" x14ac:dyDescent="0.2">
      <c r="A247" s="1"/>
      <c r="B247" s="4"/>
      <c r="C247" s="4"/>
      <c r="D247" s="1"/>
    </row>
    <row r="248" spans="1:4" ht="12.75" x14ac:dyDescent="0.2">
      <c r="A248" s="1"/>
      <c r="B248" s="4"/>
      <c r="C248" s="4"/>
      <c r="D248" s="1"/>
    </row>
    <row r="249" spans="1:4" ht="12.75" x14ac:dyDescent="0.2">
      <c r="A249" s="1"/>
      <c r="B249" s="4"/>
      <c r="C249" s="4"/>
      <c r="D249" s="1"/>
    </row>
    <row r="250" spans="1:4" ht="12.75" x14ac:dyDescent="0.2">
      <c r="A250" s="1"/>
      <c r="B250" s="4"/>
      <c r="C250" s="4"/>
      <c r="D250" s="1"/>
    </row>
    <row r="251" spans="1:4" ht="12.75" x14ac:dyDescent="0.2">
      <c r="A251" s="1"/>
      <c r="B251" s="4"/>
      <c r="C251" s="4"/>
      <c r="D251" s="1"/>
    </row>
    <row r="252" spans="1:4" ht="25.5" x14ac:dyDescent="0.2">
      <c r="A252" s="1"/>
      <c r="B252" s="4" t="str">
        <f ca="1">IFERROR(__xludf.DUMMYFUNCTION("""COMPUTED_VALUE"""),"Онлайн Бизнес на внешних рынках")</f>
        <v>Онлайн Бизнес на внешних рынках</v>
      </c>
      <c r="C252" s="4" t="str">
        <f ca="1">IFERROR(__xludf.DUMMYFUNCTION("""COMPUTED_VALUE"""),"Основы внешнеэкономической деятельности")</f>
        <v>Основы внешнеэкономической деятельности</v>
      </c>
      <c r="D252" s="1" t="str">
        <f ca="1">IFERROR(__xludf.DUMMYFUNCTION("""COMPUTED_VALUE"""),"- Ответим на вопросы: Как выстроить систему ВЭД внутри компании?
- Посмотрим роль команды и как её сформировать по ВЭД
- Вместе изучим обзор мирового и российского опыта ВЭД процессов внутри бизнеса")</f>
        <v>- Ответим на вопросы: Как выстроить систему ВЭД внутри компании?
- Посмотрим роль команды и как её сформировать по ВЭД
- Вместе изучим обзор мирового и российского опыта ВЭД процессов внутри бизнеса</v>
      </c>
    </row>
    <row r="253" spans="1:4" ht="25.5" x14ac:dyDescent="0.2">
      <c r="A253" s="1"/>
      <c r="B253" s="4" t="str">
        <f ca="1">IFERROR(__xludf.DUMMYFUNCTION("""COMPUTED_VALUE"""),"Онлайн Бизнес на внешних рынках")</f>
        <v>Онлайн Бизнес на внешних рынках</v>
      </c>
      <c r="C253" s="4" t="str">
        <f ca="1">IFERROR(__xludf.DUMMYFUNCTION("""COMPUTED_VALUE"""),"Деловая коммуникация с иностранными партнерами")</f>
        <v>Деловая коммуникация с иностранными партнерами</v>
      </c>
      <c r="D253" s="1" t="str">
        <f ca="1">IFERROR(__xludf.DUMMYFUNCTION("""COMPUTED_VALUE"""),"- Каналы коммуникации и участники процесса
- Роль кросс-культурных особенностей 
- Деловой этикет
- Подготовительный этап: сбор информации о партнере
- Алгоритм первичной коммуникации с иностранным партнером")</f>
        <v>- Каналы коммуникации и участники процесса
- Роль кросс-культурных особенностей 
- Деловой этикет
- Подготовительный этап: сбор информации о партнере
- Алгоритм первичной коммуникации с иностранным партнером</v>
      </c>
    </row>
    <row r="254" spans="1:4" ht="25.5" x14ac:dyDescent="0.2">
      <c r="A254" s="1"/>
      <c r="B254" s="4" t="str">
        <f ca="1">IFERROR(__xludf.DUMMYFUNCTION("""COMPUTED_VALUE"""),"Онлайн Бизнес на внешних рынках")</f>
        <v>Онлайн Бизнес на внешних рынках</v>
      </c>
      <c r="C254" s="4" t="str">
        <f ca="1">IFERROR(__xludf.DUMMYFUNCTION("""COMPUTED_VALUE"""),"Выход на внешние рынки")</f>
        <v>Выход на внешние рынки</v>
      </c>
      <c r="D254" s="1" t="str">
        <f ca="1">IFERROR(__xludf.DUMMYFUNCTION("""COMPUTED_VALUE"""),"- Особенности работы с иностранными партнерами 
- План выхода на зарубежные рынки
- Анализ потенциала зарубежного рынка и выбор целевых направлений ВЭД 
- Адаптация и кросс-культурные особенности в новых рынках
- Формирование запроса или коммерческого пре"&amp;"дложения")</f>
        <v>- Особенности работы с иностранными партнерами 
- План выхода на зарубежные рынки
- Анализ потенциала зарубежного рынка и выбор целевых направлений ВЭД 
- Адаптация и кросс-культурные особенности в новых рынках
- Формирование запроса или коммерческого предложения</v>
      </c>
    </row>
    <row r="255" spans="1:4" ht="25.5" x14ac:dyDescent="0.2">
      <c r="A255" s="1"/>
      <c r="B255" s="4" t="str">
        <f ca="1">IFERROR(__xludf.DUMMYFUNCTION("""COMPUTED_VALUE"""),"Онлайн Бизнес на внешних рынках")</f>
        <v>Онлайн Бизнес на внешних рынках</v>
      </c>
      <c r="C255" s="4" t="str">
        <f ca="1">IFERROR(__xludf.DUMMYFUNCTION("""COMPUTED_VALUE"""),"Методы поиска иностранного партнёра за рубежом ")</f>
        <v xml:space="preserve">Методы поиска иностранного партнёра за рубежом </v>
      </c>
      <c r="D255" s="1" t="str">
        <f ca="1">IFERROR(__xludf.DUMMYFUNCTION("""COMPUTED_VALUE"""),"- Методы поиска покупателей за рубежом 
- Каналы продаж
- Электронная торговля 
- Инструменты господдержки (федеральные/региональные)
- Как вступить в переговорный процесс, сделать маркетинговый срез по рынку и изучить конкурентов")</f>
        <v>- Методы поиска покупателей за рубежом 
- Каналы продаж
- Электронная торговля 
- Инструменты господдержки (федеральные/региональные)
- Как вступить в переговорный процесс, сделать маркетинговый срез по рынку и изучить конкурентов</v>
      </c>
    </row>
    <row r="256" spans="1:4" ht="25.5" x14ac:dyDescent="0.2">
      <c r="A256" s="1"/>
      <c r="B256" s="4" t="str">
        <f ca="1">IFERROR(__xludf.DUMMYFUNCTION("""COMPUTED_VALUE"""),"Онлайн Бизнес на внешних рынках")</f>
        <v>Онлайн Бизнес на внешних рынках</v>
      </c>
      <c r="C256" s="4" t="str">
        <f ca="1">IFERROR(__xludf.DUMMYFUNCTION("""COMPUTED_VALUE"""),"ВЭД контракт. Структура и мировая практика")</f>
        <v>ВЭД контракт. Структура и мировая практика</v>
      </c>
      <c r="D256" s="1" t="str">
        <f ca="1">IFERROR(__xludf.DUMMYFUNCTION("""COMPUTED_VALUE"""),"- Ключевые аспекты структуры ВЭД-контракта и уязвимые места
- Как подготовиться к подписанию контракта и определить предметы торга по ключевым условиям
- Структура и участники ВЭД сделки
- ВЭД контракт: существенные условия сделки  
- Разбор на практике ч"&amp;"ек-листа по проверке существенных условий ВЭД-контракта")</f>
        <v>- Ключевые аспекты структуры ВЭД-контракта и уязвимые места
- Как подготовиться к подписанию контракта и определить предметы торга по ключевым условиям
- Структура и участники ВЭД сделки
- ВЭД контракт: существенные условия сделки  
- Разбор на практике чек-листа по проверке существенных условий ВЭД-контракта</v>
      </c>
    </row>
    <row r="257" spans="1:4" ht="25.5" x14ac:dyDescent="0.2">
      <c r="A257" s="1"/>
      <c r="B257" s="4" t="str">
        <f ca="1">IFERROR(__xludf.DUMMYFUNCTION("""COMPUTED_VALUE"""),"Онлайн Бизнес на внешних рынках")</f>
        <v>Онлайн Бизнес на внешних рынках</v>
      </c>
      <c r="C257" s="4" t="str">
        <f ca="1">IFERROR(__xludf.DUMMYFUNCTION("""COMPUTED_VALUE"""),"Таможенное оформление ВЭД сделок")</f>
        <v>Таможенное оформление ВЭД сделок</v>
      </c>
      <c r="D257" s="1" t="str">
        <f ca="1">IFERROR(__xludf.DUMMYFUNCTION("""COMPUTED_VALUE"""),"- Цели и сущность регулирования ВЭД
- НПА акты регулирующие ВЭД
- Процесс таможенного оформления. Структура ТН ВЭД 
- Таможенные процедуры и таможенный контроль 
- Как выбрать таможенного представителя (брокера)")</f>
        <v>- Цели и сущность регулирования ВЭД
- НПА акты регулирующие ВЭД
- Процесс таможенного оформления. Структура ТН ВЭД 
- Таможенные процедуры и таможенный контроль 
- Как выбрать таможенного представителя (брокера)</v>
      </c>
    </row>
    <row r="258" spans="1:4" ht="25.5" x14ac:dyDescent="0.2">
      <c r="A258" s="1"/>
      <c r="B258" s="4" t="str">
        <f ca="1">IFERROR(__xludf.DUMMYFUNCTION("""COMPUTED_VALUE"""),"Онлайн Бизнес на внешних рынках")</f>
        <v>Онлайн Бизнес на внешних рынках</v>
      </c>
      <c r="C258" s="4" t="str">
        <f ca="1">IFERROR(__xludf.DUMMYFUNCTION("""COMPUTED_VALUE"""),"Сертификация продукции для работы на внешних рынках")</f>
        <v>Сертификация продукции для работы на внешних рынках</v>
      </c>
      <c r="D258" s="1" t="str">
        <f ca="1">IFERROR(__xludf.DUMMYFUNCTION("""COMPUTED_VALUE"""),"- Тарифное и нетарифное регулирование 
- Безопасность продукции, как условие доступа на рынок
- Особенности и ошибки при прохождении сертификации продукции
- Структура системы органов сертификации и формы подтверждения соответствия продукции
- Как сопоста"&amp;"влять и включать расходы на сертификацию в стоимость контракта/сделки
- Административные этапы и современные возможности получения сертификатов")</f>
        <v>- Тарифное и нетарифное регулирование 
- Безопасность продукции, как условие доступа на рынок
- Особенности и ошибки при прохождении сертификации продукции
- Структура системы органов сертификации и формы подтверждения соответствия продукции
- Как сопоставлять и включать расходы на сертификацию в стоимость контракта/сделки
- Административные этапы и современные возможности получения сертификатов</v>
      </c>
    </row>
    <row r="259" spans="1:4" ht="25.5" x14ac:dyDescent="0.2">
      <c r="A259" s="1"/>
      <c r="B259" s="4" t="str">
        <f ca="1">IFERROR(__xludf.DUMMYFUNCTION("""COMPUTED_VALUE"""),"Онлайн Бизнес на внешних рынках")</f>
        <v>Онлайн Бизнес на внешних рынках</v>
      </c>
      <c r="C259" s="4" t="str">
        <f ca="1">IFERROR(__xludf.DUMMYFUNCTION("""COMPUTED_VALUE"""),"Как организовать безошибочное прохождение валютного контроля")</f>
        <v>Как организовать безошибочное прохождение валютного контроля</v>
      </c>
      <c r="D259" s="1" t="str">
        <f ca="1">IFERROR(__xludf.DUMMYFUNCTION("""COMPUTED_VALUE"""),"- Как представлять в банк документы по валютным операциям и зачем это нужно
- Что нужно включить в контракт на этапе переговоров, чтобы валютный контроль был простым и без дополнительных документов
- Система международных НПА (нормативно-правовых актов)
-"&amp;" Обмен налоговой информацией по международным контрактам
- Особенности открытия счетов за рубежом
- Система ответственности за нарушение сроков по валютному контролю")</f>
        <v>- Как представлять в банк документы по валютным операциям и зачем это нужно
- Что нужно включить в контракт на этапе переговоров, чтобы валютный контроль был простым и без дополнительных документов
- Система международных НПА (нормативно-правовых актов)
- Обмен налоговой информацией по международным контрактам
- Особенности открытия счетов за рубежом
- Система ответственности за нарушение сроков по валютному контролю</v>
      </c>
    </row>
    <row r="260" spans="1:4" ht="25.5" x14ac:dyDescent="0.2">
      <c r="A260" s="1"/>
      <c r="B260" s="4" t="str">
        <f ca="1">IFERROR(__xludf.DUMMYFUNCTION("""COMPUTED_VALUE"""),"Онлайн Бизнес на внешних рынках")</f>
        <v>Онлайн Бизнес на внешних рынках</v>
      </c>
      <c r="C260" s="4" t="str">
        <f ca="1">IFERROR(__xludf.DUMMYFUNCTION("""COMPUTED_VALUE"""),"Логистика в ВЭД. Учёт издержек в ценообразовании ВЭД-контракта")</f>
        <v>Логистика в ВЭД. Учёт издержек в ценообразовании ВЭД-контракта</v>
      </c>
      <c r="D260" s="1" t="str">
        <f ca="1">IFERROR(__xludf.DUMMYFUNCTION("""COMPUTED_VALUE"""),"- Инкотермс 2010 и обзор новой редакции
- Где начинается и заканчивается ответственность сторон за товар, который в пути
- Как доставить или получить товар во время и в срок, как сохранить его целостность на пути следования и как выбрать подрядчика?
- Вид"&amp;"ы смешанной логистики
- НПА в области международных перевозок. Ответственность перевозчика
- Меры государственной поддержки в ВЭД
")</f>
        <v xml:space="preserve">- Инкотермс 2010 и обзор новой редакции
- Где начинается и заканчивается ответственность сторон за товар, который в пути
- Как доставить или получить товар во время и в срок, как сохранить его целостность на пути следования и как выбрать подрядчика?
- Виды смешанной логистики
- НПА в области международных перевозок. Ответственность перевозчика
- Меры государственной поддержки в ВЭД
</v>
      </c>
    </row>
    <row r="261" spans="1:4" ht="25.5" x14ac:dyDescent="0.2">
      <c r="A261" s="1"/>
      <c r="B261" s="4" t="str">
        <f ca="1">IFERROR(__xludf.DUMMYFUNCTION("""COMPUTED_VALUE"""),"Онлайн Бизнес на внешних рынках")</f>
        <v>Онлайн Бизнес на внешних рынках</v>
      </c>
      <c r="C261" s="4" t="str">
        <f ca="1">IFERROR(__xludf.DUMMYFUNCTION("""COMPUTED_VALUE"""),"Практика ведения ВЭД-переговоров")</f>
        <v>Практика ведения ВЭД-переговоров</v>
      </c>
      <c r="D261" s="1" t="str">
        <f ca="1">IFERROR(__xludf.DUMMYFUNCTION("""COMPUTED_VALUE"""),"- Проверка деловой репутации поставщика или покупателя
- Предмет торга в иностранных переговорах
- Особенности офф-лайн и он-лайн переговоров 
- Технологии ведения вэд-переговоров- Роль переводчика в переговорах
")</f>
        <v xml:space="preserve">- Проверка деловой репутации поставщика или покупателя
- Предмет торга в иностранных переговорах
- Особенности офф-лайн и он-лайн переговоров 
- Технологии ведения вэд-переговоров- Роль переводчика в переговорах
</v>
      </c>
    </row>
    <row r="262" spans="1:4" ht="25.5" x14ac:dyDescent="0.2">
      <c r="A262" s="1"/>
      <c r="B262" s="4" t="str">
        <f ca="1">IFERROR(__xludf.DUMMYFUNCTION("""COMPUTED_VALUE"""),"Модуль")</f>
        <v>Модуль</v>
      </c>
      <c r="C262" s="4" t="str">
        <f ca="1">IFERROR(__xludf.DUMMYFUNCTION("""COMPUTED_VALUE"""),"Формирование эффективной команды  ")</f>
        <v xml:space="preserve">Формирование эффективной команды  </v>
      </c>
      <c r="D262" s="1" t="str">
        <f ca="1">IFERROR(__xludf.DUMMYFUNCTION("""COMPUTED_VALUE"""),"- Определение структуры работ и структуры команды. Эффективная структура и роли в команде 
- Формулирование ценностей и норм команды. Постановка целей команде 
- Формулирование требований к будущим членам команды 
- Набор и отбор членов команды. Преодолен"&amp;"ие стартовых конфликтов 
- Управление эффективностью команды 
- Действия при реструктуризации или роспуске команды 
- Роли в команде, ориентированные на цели, взаимоотношения, себя. Почему люди подчиняются 
- Составление подробного плана работы со своей б"&amp;"изнес-командой ")</f>
        <v xml:space="preserve">- Определение структуры работ и структуры команды. Эффективная структура и роли в команде 
- Формулирование ценностей и норм команды. Постановка целей команде 
- Формулирование требований к будущим членам команды 
- Набор и отбор членов команды. Преодоление стартовых конфликтов 
- Управление эффективностью команды 
- Действия при реструктуризации или роспуске команды 
- Роли в команде, ориентированные на цели, взаимоотношения, себя. Почему люди подчиняются 
- Составление подробного плана работы со своей бизнес-командой </v>
      </c>
    </row>
    <row r="263" spans="1:4" ht="38.25" x14ac:dyDescent="0.2">
      <c r="A263" s="1"/>
      <c r="B263" s="4" t="str">
        <f ca="1">IFERROR(__xludf.DUMMYFUNCTION("""COMPUTED_VALUE"""),"Модуль")</f>
        <v>Модуль</v>
      </c>
      <c r="C263" s="4" t="str">
        <f ca="1">IFERROR(__xludf.DUMMYFUNCTION("""COMPUTED_VALUE"""),"Проведение внутрикомандных встреч: совещания, планерки, оперативки, собрания, разборы")</f>
        <v>Проведение внутрикомандных встреч: совещания, планерки, оперативки, собрания, разборы</v>
      </c>
      <c r="D263" s="1" t="str">
        <f ca="1">IFERROR(__xludf.DUMMYFUNCTION("""COMPUTED_VALUE"""),"- Определение понятий: Совещание, Собрание, Планерка, Оперативка, Раскомандировка (Разнарядка), Разбор, Защита, Конференция, Отчет. Правила групповой работы
- Порядок проведение совещаний. Проблемные совещания и порядок их проведения
- Планирование работы"&amp;" на краткосрочный период — Планерка. Порядок проведения
- Прядок распределения работ и выдачи нарядов — Разнарядка
- Порядок проведения общего и отчетного собраний команды
- Другие внутрикомандные встречи")</f>
        <v>- Определение понятий: Совещание, Собрание, Планерка, Оперативка, Раскомандировка (Разнарядка), Разбор, Защита, Конференция, Отчет. Правила групповой работы
- Порядок проведение совещаний. Проблемные совещания и порядок их проведения
- Планирование работы на краткосрочный период — Планерка. Порядок проведения
- Прядок распределения работ и выдачи нарядов — Разнарядка
- Порядок проведения общего и отчетного собраний команды
- Другие внутрикомандные встречи</v>
      </c>
    </row>
    <row r="264" spans="1:4" ht="38.25" x14ac:dyDescent="0.2">
      <c r="A264" s="1"/>
      <c r="B264" s="4" t="str">
        <f ca="1">IFERROR(__xludf.DUMMYFUNCTION("""COMPUTED_VALUE"""),"Модуль")</f>
        <v>Модуль</v>
      </c>
      <c r="C264" s="4" t="str">
        <f ca="1">IFERROR(__xludf.DUMMYFUNCTION("""COMPUTED_VALUE"""),"Нематериальное стимулирование. Обратная связь: похвала и конструктивная критика")</f>
        <v>Нематериальное стимулирование. Обратная связь: похвала и конструктивная критика</v>
      </c>
      <c r="D264" s="1" t="str">
        <f ca="1">IFERROR(__xludf.DUMMYFUNCTION("""COMPUTED_VALUE"""),"- Определение понятий: социально-психологические стимулы (признание, причастность), миссия, ценности, культура, идеология и др.
- Виды и формы нематериального стимулирования: признание, причастность к власти, возможность распоряжаться ресурсами и принимат"&amp;"ь решения, организация рабочего места и др.
- Обойма приемов нематериального стимулирования
- Стимулирование через командную культуру и идеологию
- Принципы подачи обратной связи: похвала и конструктивная критика
- Практикум по разработке системы нематери"&amp;"ального стимулирования")</f>
        <v>- Определение понятий: социально-психологические стимулы (признание, причастность), миссия, ценности, культура, идеология и др.
- Виды и формы нематериального стимулирования: признание, причастность к власти, возможность распоряжаться ресурсами и принимать решения, организация рабочего места и др.
- Обойма приемов нематериального стимулирования
- Стимулирование через командную культуру и идеологию
- Принципы подачи обратной связи: похвала и конструктивная критика
- Практикум по разработке системы нематериального стимулирования</v>
      </c>
    </row>
    <row r="265" spans="1:4" ht="25.5" x14ac:dyDescent="0.2">
      <c r="A265" s="1"/>
      <c r="B265" s="4" t="str">
        <f ca="1">IFERROR(__xludf.DUMMYFUNCTION("""COMPUTED_VALUE"""),"Модуль")</f>
        <v>Модуль</v>
      </c>
      <c r="C265" s="4" t="str">
        <f ca="1">IFERROR(__xludf.DUMMYFUNCTION("""COMPUTED_VALUE"""),"Делегирование работ и полномочий членам команды")</f>
        <v>Делегирование работ и полномочий членам команды</v>
      </c>
      <c r="D265" s="1" t="str">
        <f ca="1">IFERROR(__xludf.DUMMYFUNCTION("""COMPUTED_VALUE"""),"- Определение понятий: Делегирование, Полномочия, Работы, Приоритеты и др.
- Где и когда делегируются работы, где и когда делегируются полномочия. Делегирование в разных бизнес-ситуациях
- Что возможно и что не возможно делегировать?
- Что стоит и что не "&amp;"стоит делегировать?
- Матрица Эйзенхауэра для определения областей делегирования. Что делегировать в первую очередь
- От чего зависит успешность делегирования? Принципы делегирования
- Подготовка членов команды к делегированию от вас")</f>
        <v>- Определение понятий: Делегирование, Полномочия, Работы, Приоритеты и др.
- Где и когда делегируются работы, где и когда делегируются полномочия. Делегирование в разных бизнес-ситуациях
- Что возможно и что не возможно делегировать?
- Что стоит и что не стоит делегировать?
- Матрица Эйзенхауэра для определения областей делегирования. Что делегировать в первую очередь
- От чего зависит успешность делегирования? Принципы делегирования
- Подготовка членов команды к делегированию от вас</v>
      </c>
    </row>
    <row r="266" spans="1:4" ht="25.5" x14ac:dyDescent="0.2">
      <c r="A266" s="1"/>
      <c r="B266" s="4" t="str">
        <f ca="1">IFERROR(__xludf.DUMMYFUNCTION("""COMPUTED_VALUE"""),"Модуль")</f>
        <v>Модуль</v>
      </c>
      <c r="C266" s="4" t="str">
        <f ca="1">IFERROR(__xludf.DUMMYFUNCTION("""COMPUTED_VALUE"""),"Первичные адаптация и обучение членов команды")</f>
        <v>Первичные адаптация и обучение членов команды</v>
      </c>
      <c r="D266" s="1" t="str">
        <f ca="1">IFERROR(__xludf.DUMMYFUNCTION("""COMPUTED_VALUE"""),"- Определение понятий: адаптация, восприятие, знание, умение, навык
- Виды адаптации, тимбилдинг
- Обучение членов команды: восприятие и ошибки восприятия, особенности обучения взрослых
- Четыре уровня профессиональной компетенции (Бандура). Поэтапное фор"&amp;"мирование действий (цикл Колба)
- Модель организации краткосрочной учебной программы 
- Практикум: составление плана мероприятий по обучению членов команды")</f>
        <v>- Определение понятий: адаптация, восприятие, знание, умение, навык
- Виды адаптации, тимбилдинг
- Обучение членов команды: восприятие и ошибки восприятия, особенности обучения взрослых
- Четыре уровня профессиональной компетенции (Бандура). Поэтапное формирование действий (цикл Колба)
- Модель организации краткосрочной учебной программы 
- Практикум: составление плана мероприятий по обучению членов команды</v>
      </c>
    </row>
    <row r="267" spans="1:4" ht="51" x14ac:dyDescent="0.2">
      <c r="A267" s="1"/>
      <c r="B267" s="4" t="str">
        <f ca="1">IFERROR(__xludf.DUMMYFUNCTION("""COMPUTED_VALUE"""),"Модуль")</f>
        <v>Модуль</v>
      </c>
      <c r="C267" s="4" t="str">
        <f ca="1">IFERROR(__xludf.DUMMYFUNCTION("""COMPUTED_VALUE"""),"Формулирование командных, миссии, ценностей и норм. Определение целей команды и ее членов")</f>
        <v>Формулирование командных, миссии, ценностей и норм. Определение целей команды и ее членов</v>
      </c>
      <c r="D267" s="1" t="str">
        <f ca="1">IFERROR(__xludf.DUMMYFUNCTION("""COMPUTED_VALUE"""),"- Определение понятий: Миссия, Ценность, Норма, Мораль, Этика, Цель
- Миссия команды, как формулировка о ее предназначении
- Ценности команды, как ориентиры для принятия решений членами команды в условиях отсутствия формальных инструкций
- Командные номы,"&amp;" этика и мораль, как система неформального нормативного регулирования мышления и поведения членов команды
- Порядок формулирования и постановки целей в команде
- Система постановки целей членам команды: декомпозиция целей команды в цели ее членов")</f>
        <v>- Определение понятий: Миссия, Ценность, Норма, Мораль, Этика, Цель
- Миссия команды, как формулировка о ее предназначении
- Ценности команды, как ориентиры для принятия решений членами команды в условиях отсутствия формальных инструкций
- Командные номы, этика и мораль, как система неформального нормативного регулирования мышления и поведения членов команды
- Порядок формулирования и постановки целей в команде
- Система постановки целей членам команды: декомпозиция целей команды в цели ее членов</v>
      </c>
    </row>
    <row r="268" spans="1:4" ht="25.5" x14ac:dyDescent="0.2">
      <c r="A268" s="1"/>
      <c r="B268" s="4" t="str">
        <f ca="1">IFERROR(__xludf.DUMMYFUNCTION("""COMPUTED_VALUE"""),"Модуль")</f>
        <v>Модуль</v>
      </c>
      <c r="C268" s="4" t="str">
        <f ca="1">IFERROR(__xludf.DUMMYFUNCTION("""COMPUTED_VALUE"""),"Консультация по делегированию полномочий членам команды")</f>
        <v>Консультация по делегированию полномочий членам команды</v>
      </c>
      <c r="D268" s="1"/>
    </row>
    <row r="269" spans="1:4" ht="38.25" x14ac:dyDescent="0.2">
      <c r="A269" s="1"/>
      <c r="B269" s="4" t="str">
        <f ca="1">IFERROR(__xludf.DUMMYFUNCTION("""COMPUTED_VALUE"""),"Модуль")</f>
        <v>Модуль</v>
      </c>
      <c r="C269" s="4" t="str">
        <f ca="1">IFERROR(__xludf.DUMMYFUNCTION("""COMPUTED_VALUE"""),"Консультация по организации и проведению внутрикомандных встреч")</f>
        <v>Консультация по организации и проведению внутрикомандных встреч</v>
      </c>
      <c r="D269" s="1"/>
    </row>
    <row r="270" spans="1:4" ht="38.25" x14ac:dyDescent="0.2">
      <c r="A270" s="1"/>
      <c r="B270" s="4" t="str">
        <f ca="1">IFERROR(__xludf.DUMMYFUNCTION("""COMPUTED_VALUE"""),"5 точек роста онлайн")</f>
        <v>5 точек роста онлайн</v>
      </c>
      <c r="C270" s="4" t="str">
        <f ca="1">IFERROR(__xludf.DUMMYFUNCTION("""COMPUTED_VALUE"""),"Как увеличить прибыль компании, настроив бизнес-процессы и эффективно преподнеся ее рынку")</f>
        <v>Как увеличить прибыль компании, настроив бизнес-процессы и эффективно преподнеся ее рынку</v>
      </c>
      <c r="D270" s="1" t="str">
        <f ca="1">IFERROR(__xludf.DUMMYFUNCTION("""COMPUTED_VALUE"""),"- Внутренняя упаковка: настройка работы компании
- Внешняя упаковка. Как настроить работу бизнеса, чтобы он продавал себя сам
- Смыслы. Описание компании и продукта. Создание УТП
- Конкуренты. Отстройка позиционирования от конкурентов
- Психологические ба"&amp;"рьеры в масштабировании бизнеса
- Декомпозиция бизнеса
- Возможности роста и развития. Выбор модели масштабирования
")</f>
        <v xml:space="preserve">- Внутренняя упаковка: настройка работы компании
- Внешняя упаковка. Как настроить работу бизнеса, чтобы он продавал себя сам
- Смыслы. Описание компании и продукта. Создание УТП
- Конкуренты. Отстройка позиционирования от конкурентов
- Психологические барьеры в масштабировании бизнеса
- Декомпозиция бизнеса
- Возможности роста и развития. Выбор модели масштабирования
</v>
      </c>
    </row>
    <row r="271" spans="1:4" ht="38.25" x14ac:dyDescent="0.2">
      <c r="A271" s="1"/>
      <c r="B271" s="4"/>
      <c r="C271" s="4" t="str">
        <f ca="1">IFERROR(__xludf.DUMMYFUNCTION("""COMPUTED_VALUE"""),"Как увеличить прибыль, настроив бизнес-процессы и эффективно преподнеся компанию рынку")</f>
        <v>Как увеличить прибыль, настроив бизнес-процессы и эффективно преподнеся компанию рынку</v>
      </c>
      <c r="D271" s="1" t="str">
        <f ca="1">IFERROR(__xludf.DUMMYFUNCTION("""COMPUTED_VALUE"""),"- Внутренняя упаковка: настройка работы компании
- Внешняя упаковка. Как настроить работу бизнеса, чтобы он продавал себя сам
- Смыслы. Описание компании и продукта. Создание УТП
- Конкуренты. Отстройка позиционирования от конкурентов
- Психологические ба"&amp;"рьеры в масштабировании бизнеса
- Декомпозиция бизнеса
- Возможности роста и развития. Выбор модели масштабирования
")</f>
        <v xml:space="preserve">- Внутренняя упаковка: настройка работы компании
- Внешняя упаковка. Как настроить работу бизнеса, чтобы он продавал себя сам
- Смыслы. Описание компании и продукта. Создание УТП
- Конкуренты. Отстройка позиционирования от конкурентов
- Психологические барьеры в масштабировании бизнеса
- Декомпозиция бизнеса
- Возможности роста и развития. Выбор модели масштабирования
</v>
      </c>
    </row>
    <row r="272" spans="1:4" ht="51" x14ac:dyDescent="0.2">
      <c r="A272" s="1"/>
      <c r="B272" s="4" t="str">
        <f ca="1">IFERROR(__xludf.DUMMYFUNCTION("""COMPUTED_VALUE"""),"5 точек роста онлайн")</f>
        <v>5 точек роста онлайн</v>
      </c>
      <c r="C272" s="4" t="str">
        <f ca="1">IFERROR(__xludf.DUMMYFUNCTION("""COMPUTED_VALUE"""),"Франчайзинг: инструкция по применению. Как использовать франчайзинг на 100%
")</f>
        <v xml:space="preserve">Франчайзинг: инструкция по применению. Как использовать франчайзинг на 100%
</v>
      </c>
      <c r="D272" s="1" t="str">
        <f ca="1">IFERROR(__xludf.DUMMYFUNCTION("""COMPUTED_VALUE"""),"- Что такое франшиза? Особенности рынка франчайзинга в России: основные игроки и принципы работы 
- Топ-10 проблем франчайзинга
- В каких случаях стоит развивать бизнес через франшизы
- Структура комплекта франшизы
- Метод экспресс упаковки франшизы
- Как"&amp;" работать с новыми партнерами. Границы ответственности и возможностей
- Кейсы российских компаний")</f>
        <v>- Что такое франшиза? Особенности рынка франчайзинга в России: основные игроки и принципы работы 
- Топ-10 проблем франчайзинга
- В каких случаях стоит развивать бизнес через франшизы
- Структура комплекта франшизы
- Метод экспресс упаковки франшизы
- Как работать с новыми партнерами. Границы ответственности и возможностей
- Кейсы российских компаний</v>
      </c>
    </row>
    <row r="273" spans="1:4" ht="25.5" x14ac:dyDescent="0.2">
      <c r="A273" s="1"/>
      <c r="B273" s="4" t="str">
        <f ca="1">IFERROR(__xludf.DUMMYFUNCTION("""COMPUTED_VALUE"""),"5 точек роста онлайн")</f>
        <v>5 точек роста онлайн</v>
      </c>
      <c r="C273" s="4" t="str">
        <f ca="1">IFERROR(__xludf.DUMMYFUNCTION("""COMPUTED_VALUE"""),"Маркетинговые материалы и продающие заголовки")</f>
        <v>Маркетинговые материалы и продающие заголовки</v>
      </c>
      <c r="D273" s="1" t="str">
        <f ca="1">IFERROR(__xludf.DUMMYFUNCTION("""COMPUTED_VALUE"""),"- Базовая структура продающего текста 
- Роль каждого блока в продающем тексте 
- Приемы отстройки от косвенных конкурентов 
- Приемы отстройки от «среднего» конкурента 
- Оффер от объекта.  Его роль в рекламе.  Для каких ситуаций используется 
- Оффер от"&amp;" выгоды.  Его роль в рекламе.  Для каких ситуаций используется 
- Формулы написания продающих рекламных заголовков ")</f>
        <v xml:space="preserve">- Базовая структура продающего текста 
- Роль каждого блока в продающем тексте 
- Приемы отстройки от косвенных конкурентов 
- Приемы отстройки от «среднего» конкурента 
- Оффер от объекта.  Его роль в рекламе.  Для каких ситуаций используется 
- Оффер от выгоды.  Его роль в рекламе.  Для каких ситуаций используется 
- Формулы написания продающих рекламных заголовков </v>
      </c>
    </row>
    <row r="274" spans="1:4" ht="25.5" x14ac:dyDescent="0.2">
      <c r="A274" s="1"/>
      <c r="B274" s="4" t="str">
        <f ca="1">IFERROR(__xludf.DUMMYFUNCTION("""COMPUTED_VALUE"""),"5 точек роста онлайн")</f>
        <v>5 точек роста онлайн</v>
      </c>
      <c r="C274" s="4" t="str">
        <f ca="1">IFERROR(__xludf.DUMMYFUNCTION("""COMPUTED_VALUE"""),"Как создать сильный бренд компании")</f>
        <v>Как создать сильный бренд компании</v>
      </c>
      <c r="D274" s="1" t="str">
        <f ca="1">IFERROR(__xludf.DUMMYFUNCTION("""COMPUTED_VALUE"""),"- Можно ли жить без бренда в современном мире и почему все бизнесы стремятся стать брендом 
- Специфика брендинга малого бизнеса
- Составляющие сильного бренда
- Структура бренда: название, логотип, слоган, персонаж, фирменный стиль, бренд-бук 
- Разработ"&amp;"ка бренда. Как создать бренд для собственного бизнеса? С чего начать?
- Ошибки брендинга или чего делать нельзя?")</f>
        <v>- Можно ли жить без бренда в современном мире и почему все бизнесы стремятся стать брендом 
- Специфика брендинга малого бизнеса
- Составляющие сильного бренда
- Структура бренда: название, логотип, слоган, персонаж, фирменный стиль, бренд-бук 
- Разработка бренда. Как создать бренд для собственного бизнеса? С чего начать?
- Ошибки брендинга или чего делать нельзя?</v>
      </c>
    </row>
    <row r="275" spans="1:4" ht="12.75" x14ac:dyDescent="0.2">
      <c r="A275" s="1"/>
      <c r="B275" s="4" t="str">
        <f ca="1">IFERROR(__xludf.DUMMYFUNCTION("""COMPUTED_VALUE"""),"5 точек роста онлайн")</f>
        <v>5 точек роста онлайн</v>
      </c>
      <c r="C275" s="4" t="str">
        <f ca="1">IFERROR(__xludf.DUMMYFUNCTION("""COMPUTED_VALUE"""),"Набор и отбор членов команды")</f>
        <v>Набор и отбор членов команды</v>
      </c>
      <c r="D275" s="1" t="str">
        <f ca="1">IFERROR(__xludf.DUMMYFUNCTION("""COMPUTED_VALUE"""),"- Набор кандидатов в команду
- Определение структуры и объема работ и их описание
- Описание возможных рабочих мест
- Определение знаний, навыков и способностей для исполнения работ и их ранжирование по значимости
- Определение необходимого количества чле"&amp;"нов и структуры команды
- Структура и порядок публикации объявления о формировании команды
- Сбор и первичная обработка полученных заявок
")</f>
        <v xml:space="preserve">- Набор кандидатов в команду
- Определение структуры и объема работ и их описание
- Описание возможных рабочих мест
- Определение знаний, навыков и способностей для исполнения работ и их ранжирование по значимости
- Определение необходимого количества членов и структуры команды
- Структура и порядок публикации объявления о формировании команды
- Сбор и первичная обработка полученных заявок
</v>
      </c>
    </row>
    <row r="276" spans="1:4" ht="25.5" x14ac:dyDescent="0.2">
      <c r="A276" s="1"/>
      <c r="B276" s="4" t="str">
        <f ca="1">IFERROR(__xludf.DUMMYFUNCTION("""COMPUTED_VALUE"""),"5 точек роста онлайн")</f>
        <v>5 точек роста онлайн</v>
      </c>
      <c r="C276" s="4" t="str">
        <f ca="1">IFERROR(__xludf.DUMMYFUNCTION("""COMPUTED_VALUE"""),"Мотивация и стимуляция членов команды")</f>
        <v>Мотивация и стимуляция членов команды</v>
      </c>
      <c r="D276" s="1" t="str">
        <f ca="1">IFERROR(__xludf.DUMMYFUNCTION("""COMPUTED_VALUE"""),"- Откуда берется и как работает мотивация. Внутренняя мотивация и внешняя стимуляция. Как развивать внутреннюю мотивацию у членов команды. Можно ли изменить мотивы членов команды
- Краткий обзор теорий мотивации
- Что стимулирует заработная плата?
- Ошибк"&amp;"и в стимулировании членов команды
- Способы и принципы системы стимуляции. Создание модели стимулирования своей команды и ее членов ")</f>
        <v xml:space="preserve">- Откуда берется и как работает мотивация. Внутренняя мотивация и внешняя стимуляция. Как развивать внутреннюю мотивацию у членов команды. Можно ли изменить мотивы членов команды
- Краткий обзор теорий мотивации
- Что стимулирует заработная плата?
- Ошибки в стимулировании членов команды
- Способы и принципы системы стимуляции. Создание модели стимулирования своей команды и ее членов </v>
      </c>
    </row>
    <row r="277" spans="1:4" ht="25.5" x14ac:dyDescent="0.2">
      <c r="A277" s="1"/>
      <c r="B277" s="4" t="str">
        <f ca="1">IFERROR(__xludf.DUMMYFUNCTION("""COMPUTED_VALUE"""),"5 точек роста онлайн")</f>
        <v>5 точек роста онлайн</v>
      </c>
      <c r="C277" s="4" t="str">
        <f ca="1">IFERROR(__xludf.DUMMYFUNCTION("""COMPUTED_VALUE"""),"Первичные адаптация и обучение членов команды")</f>
        <v>Первичные адаптация и обучение членов команды</v>
      </c>
      <c r="D277" s="1" t="str">
        <f ca="1">IFERROR(__xludf.DUMMYFUNCTION("""COMPUTED_VALUE"""),"- Методы адаптации: 14 практических способов ввести сотрудника в рабочий процесс
- Ошибки адаптации со стороны руководителя
- Таксономия Блума. Пирамида повышения профессионализма сотрудника: как использовать в работе и постановке задач
- Подготовка докум"&amp;"ентации и базы для адаптации
- Пошаговый план: с чего начать обучение команды от простого к сложному")</f>
        <v>- Методы адаптации: 14 практических способов ввести сотрудника в рабочий процесс
- Ошибки адаптации со стороны руководителя
- Таксономия Блума. Пирамида повышения профессионализма сотрудника: как использовать в работе и постановке задач
- Подготовка документации и базы для адаптации
- Пошаговый план: с чего начать обучение команды от простого к сложному</v>
      </c>
    </row>
    <row r="278" spans="1:4" ht="25.5" x14ac:dyDescent="0.2">
      <c r="A278" s="1"/>
      <c r="B278" s="4" t="str">
        <f ca="1">IFERROR(__xludf.DUMMYFUNCTION("""COMPUTED_VALUE"""),"5 точек роста онлайн")</f>
        <v>5 точек роста онлайн</v>
      </c>
      <c r="C278" s="4" t="str">
        <f ca="1">IFERROR(__xludf.DUMMYFUNCTION("""COMPUTED_VALUE"""),"Делегирование работ и полномочий членам команды")</f>
        <v>Делегирование работ и полномочий членам команды</v>
      </c>
      <c r="D278" s="1" t="str">
        <f ca="1">IFERROR(__xludf.DUMMYFUNCTION("""COMPUTED_VALUE"""),"- Что такое делегирование: в чем его суть? 
- Что развивает в людях делегирование и как отражается на вашей компании 
- Какие задачи и кому делегировать. Типажи которым НУЖНО давать ответственность 
- Вопросы “Винни-Пуха” для планерки и делегирования 
- С"&amp;"хема делегирования и управления в онлайн. Инструменты удаленного контроля
- Точки контроля, вмешательство в процесс выполнения задач")</f>
        <v>- Что такое делегирование: в чем его суть? 
- Что развивает в людях делегирование и как отражается на вашей компании 
- Какие задачи и кому делегировать. Типажи которым НУЖНО давать ответственность 
- Вопросы “Винни-Пуха” для планерки и делегирования 
- Схема делегирования и управления в онлайн. Инструменты удаленного контроля
- Точки контроля, вмешательство в процесс выполнения задач</v>
      </c>
    </row>
    <row r="279" spans="1:4" ht="25.5" x14ac:dyDescent="0.2">
      <c r="A279" s="1"/>
      <c r="B279" s="4" t="str">
        <f ca="1">IFERROR(__xludf.DUMMYFUNCTION("""COMPUTED_VALUE"""),"5 точек роста онлайн")</f>
        <v>5 точек роста онлайн</v>
      </c>
      <c r="C279" s="4" t="str">
        <f ca="1">IFERROR(__xludf.DUMMYFUNCTION("""COMPUTED_VALUE"""),"Подготовка к запуску продаж товаров и услуг через интернет")</f>
        <v>Подготовка к запуску продаж товаров и услуг через интернет</v>
      </c>
      <c r="D279" s="1" t="str">
        <f ca="1">IFERROR(__xludf.DUMMYFUNCTION("""COMPUTED_VALUE"""),"- Когда нужен лендинг, когда интернет-магазин, а когда корпоративный сайт и разница в принципах работы
- Популярные бесплатные и платные движки для сайтов. Подводные камни
- SAAS системы
- Платформы для создания сайтов
- Вспомогательные сервисы и принципы"&amp;" их работы с разными аудиториями: телефонии, чат-боты, поп-ап, обратные звонки
- Популярные CRM системы. И разница в работе с ними
- Сервисы для базового аудита конкурентов")</f>
        <v>- Когда нужен лендинг, когда интернет-магазин, а когда корпоративный сайт и разница в принципах работы
- Популярные бесплатные и платные движки для сайтов. Подводные камни
- SAAS системы
- Платформы для создания сайтов
- Вспомогательные сервисы и принципы их работы с разными аудиториями: телефонии, чат-боты, поп-ап, обратные звонки
- Популярные CRM системы. И разница в работе с ними
- Сервисы для базового аудита конкурентов</v>
      </c>
    </row>
    <row r="280" spans="1:4" ht="12.75" x14ac:dyDescent="0.2">
      <c r="A280" s="1"/>
      <c r="B280" s="4" t="str">
        <f ca="1">IFERROR(__xludf.DUMMYFUNCTION("""COMPUTED_VALUE"""),"5 точек роста онлайн")</f>
        <v>5 точек роста онлайн</v>
      </c>
      <c r="C280" s="4" t="str">
        <f ca="1">IFERROR(__xludf.DUMMYFUNCTION("""COMPUTED_VALUE"""),"Источники трафика в интернете")</f>
        <v>Источники трафика в интернете</v>
      </c>
      <c r="D280" s="1" t="str">
        <f ca="1">IFERROR(__xludf.DUMMYFUNCTION("""COMPUTED_VALUE"""),"- Как свести все каналы продвижения в единую стратегию и с чего нужно начать?
- 4 главные стратегии привлечения клиентов
- Контекстная реклама Google и Яндекс
- Реклама в сетях РСЯ и КМС
- Таргетированная реклама в соц. сетях
- Агрегаторы, маркетплейсы
- "&amp;"Контент-маркетинг, email-маркетинг
- SEO продвижение
- Продвижение в картах
- Управление репутацией, скрытый маркетинг")</f>
        <v>- Как свести все каналы продвижения в единую стратегию и с чего нужно начать?
- 4 главные стратегии привлечения клиентов
- Контекстная реклама Google и Яндекс
- Реклама в сетях РСЯ и КМС
- Таргетированная реклама в соц. сетях
- Агрегаторы, маркетплейсы
- Контент-маркетинг, email-маркетинг
- SEO продвижение
- Продвижение в картах
- Управление репутацией, скрытый маркетинг</v>
      </c>
    </row>
    <row r="281" spans="1:4" ht="38.25" x14ac:dyDescent="0.2">
      <c r="A281" s="1"/>
      <c r="B281" s="4" t="str">
        <f ca="1">IFERROR(__xludf.DUMMYFUNCTION("""COMPUTED_VALUE"""),"5 точек роста онлайн")</f>
        <v>5 точек роста онлайн</v>
      </c>
      <c r="C281" s="4" t="str">
        <f ca="1">IFERROR(__xludf.DUMMYFUNCTION("""COMPUTED_VALUE"""),"Анализ эффективности продвижения сайта в сети Интернет")</f>
        <v>Анализ эффективности продвижения сайта в сети Интернет</v>
      </c>
      <c r="D281" s="1" t="str">
        <f ca="1">IFERROR(__xludf.DUMMYFUNCTION("""COMPUTED_VALUE"""),"- Настройка и работа с Яндекс.Метрикой 
- Обзор существующих систем статистики
- Анализ поведения пользователей с помощью Яндекс Вебвизора
- Как собрать максимально данных про пользователей и их поведение 
- Настройка и работы с Google Analytics
- Как пра"&amp;"вильно работать с показателями эффективностями и их считать
- Анализ аудитории и конкурентов для создания стратегии ")</f>
        <v xml:space="preserve">- Настройка и работа с Яндекс.Метрикой 
- Обзор существующих систем статистики
- Анализ поведения пользователей с помощью Яндекс Вебвизора
- Как собрать максимально данных про пользователей и их поведение 
- Настройка и работы с Google Analytics
- Как правильно работать с показателями эффективностями и их считать
- Анализ аудитории и конкурентов для создания стратегии </v>
      </c>
    </row>
    <row r="282" spans="1:4" ht="38.25" x14ac:dyDescent="0.2">
      <c r="A282" s="1"/>
      <c r="B282" s="4" t="str">
        <f ca="1">IFERROR(__xludf.DUMMYFUNCTION("""COMPUTED_VALUE"""),"5 точек роста онлайн")</f>
        <v>5 точек роста онлайн</v>
      </c>
      <c r="C282" s="4" t="str">
        <f ca="1">IFERROR(__xludf.DUMMYFUNCTION("""COMPUTED_VALUE"""),"Продвижение компании с помощью Instagram: стратегия, контент, вовлечение и клиенты")</f>
        <v>Продвижение компании с помощью Instagram: стратегия, контент, вовлечение и клиенты</v>
      </c>
      <c r="D282" s="1" t="str">
        <f ca="1">IFERROR(__xludf.DUMMYFUNCTION("""COMPUTED_VALUE"""),"- Стратегия продвижения в Instagram
- Позиционирование и шапка профиля, навигация, ссылки
- 5 видов контента, ранжирование постов
- Работа со сторис — как всегда показываться, главные инструменты для создания Stories, как у самых известных блогеров
- Рабо"&amp;"та с эфирами, блогерами, коллаборациями
- Работа с постами — главные правила и инструменты
- Продвижение аккаунта — платные и бесплатные методы")</f>
        <v>- Стратегия продвижения в Instagram
- Позиционирование и шапка профиля, навигация, ссылки
- 5 видов контента, ранжирование постов
- Работа со сторис — как всегда показываться, главные инструменты для создания Stories, как у самых известных блогеров
- Работа с эфирами, блогерами, коллаборациями
- Работа с постами — главные правила и инструменты
- Продвижение аккаунта — платные и бесплатные методы</v>
      </c>
    </row>
    <row r="283" spans="1:4" ht="25.5" x14ac:dyDescent="0.2">
      <c r="A283" s="1"/>
      <c r="B283" s="4" t="str">
        <f ca="1">IFERROR(__xludf.DUMMYFUNCTION("""COMPUTED_VALUE"""),"5 точек роста онлайн")</f>
        <v>5 точек роста онлайн</v>
      </c>
      <c r="C283" s="4" t="str">
        <f ca="1">IFERROR(__xludf.DUMMYFUNCTION("""COMPUTED_VALUE"""),"Активные продажи. Как продавать больше?")</f>
        <v>Активные продажи. Как продавать больше?</v>
      </c>
      <c r="D283" s="1" t="str">
        <f ca="1">IFERROR(__xludf.DUMMYFUNCTION("""COMPUTED_VALUE"""),"- Этапы продаж, основные техники и алгоритмы
- Эффективные переговоры: установление контакта с Клиентом, выявление потребностей и возможностей Клиента, представление товаров и услуг, аргументация цены, работа с возражениями, закрытие сделки
- Жесткие пере"&amp;"говоры: техники эффективного реагирования на манипуляции, возражения, сомнения Клиентов
- Телефонные продажи. Как продавать с помощью холодных звонков? ")</f>
        <v xml:space="preserve">- Этапы продаж, основные техники и алгоритмы
- Эффективные переговоры: установление контакта с Клиентом, выявление потребностей и возможностей Клиента, представление товаров и услуг, аргументация цены, работа с возражениями, закрытие сделки
- Жесткие переговоры: техники эффективного реагирования на манипуляции, возражения, сомнения Клиентов
- Телефонные продажи. Как продавать с помощью холодных звонков? </v>
      </c>
    </row>
    <row r="284" spans="1:4" ht="38.25" x14ac:dyDescent="0.2">
      <c r="A284" s="1"/>
      <c r="B284" s="4" t="str">
        <f ca="1">IFERROR(__xludf.DUMMYFUNCTION("""COMPUTED_VALUE"""),"5 точек роста онлайн")</f>
        <v>5 точек роста онлайн</v>
      </c>
      <c r="C284" s="4" t="str">
        <f ca="1">IFERROR(__xludf.DUMMYFUNCTION("""COMPUTED_VALUE"""),"Эффективные переговоры в продажах. Как завершать сделками любые переговоры?")</f>
        <v>Эффективные переговоры в продажах. Как завершать сделками любые переговоры?</v>
      </c>
      <c r="D284" s="1" t="str">
        <f ca="1">IFERROR(__xludf.DUMMYFUNCTION("""COMPUTED_VALUE"""),"- Введение в переговоры: определение, виды, стратегии
- Основные проблемы и ошибки переговоров
- Психологические и эмоциональные аспекты успешных переговоров
- Подготовка к переговорам
- Открытие (начало) переговоров
- Выяснение позиции (ситуации, потребн"&amp;"ости) клиента
- Презентация предложения
- Работа с возражениями
- Закрытие сделки ")</f>
        <v xml:space="preserve">- Введение в переговоры: определение, виды, стратегии
- Основные проблемы и ошибки переговоров
- Психологические и эмоциональные аспекты успешных переговоров
- Подготовка к переговорам
- Открытие (начало) переговоров
- Выяснение позиции (ситуации, потребности) клиента
- Презентация предложения
- Работа с возражениями
- Закрытие сделки </v>
      </c>
    </row>
    <row r="285" spans="1:4" ht="38.25" x14ac:dyDescent="0.2">
      <c r="A285" s="1"/>
      <c r="B285" s="4" t="str">
        <f ca="1">IFERROR(__xludf.DUMMYFUNCTION("""COMPUTED_VALUE"""),"5 точек роста онлайн")</f>
        <v>5 точек роста онлайн</v>
      </c>
      <c r="C285" s="4" t="str">
        <f ca="1">IFERROR(__xludf.DUMMYFUNCTION("""COMPUTED_VALUE"""),"Отдел продаж. Как создать и настроить работу эффективного отдела продаж?")</f>
        <v>Отдел продаж. Как создать и настроить работу эффективного отдела продаж?</v>
      </c>
      <c r="D285" s="1" t="str">
        <f ca="1">IFERROR(__xludf.DUMMYFUNCTION("""COMPUTED_VALUE"""),"- Структура отдела продаж
- Управление менеджерами отдела продаж и РОПа: как мотивировать, ставить задачу и контролировать
- Система обучения менеджеров по продажам: скрипты, алгоритмы, система наставничества
- Автоматизация системы продаж: CRM и другие ц"&amp;"ифровые помощники 
- Система безопасности продаж. Как сохранить базу и клиентов
- Sales book (книга продаж): структура, типовые шаблоны, методика разработки")</f>
        <v>- Структура отдела продаж
- Управление менеджерами отдела продаж и РОПа: как мотивировать, ставить задачу и контролировать
- Система обучения менеджеров по продажам: скрипты, алгоритмы, система наставничества
- Автоматизация системы продаж: CRM и другие цифровые помощники 
- Система безопасности продаж. Как сохранить базу и клиентов
- Sales book (книга продаж): структура, типовые шаблоны, методика разработки</v>
      </c>
    </row>
    <row r="286" spans="1:4" ht="38.25" x14ac:dyDescent="0.2">
      <c r="A286" s="1"/>
      <c r="B286" s="4" t="str">
        <f ca="1">IFERROR(__xludf.DUMMYFUNCTION("""COMPUTED_VALUE"""),"5 точек роста онлайн")</f>
        <v>5 точек роста онлайн</v>
      </c>
      <c r="C286" s="4" t="str">
        <f ca="1">IFERROR(__xludf.DUMMYFUNCTION("""COMPUTED_VALUE"""),"Эффективная работа с клиентами. Сопровождение и развитие постоянных клиентов")</f>
        <v>Эффективная работа с клиентами. Сопровождение и развитие постоянных клиентов</v>
      </c>
      <c r="D286" s="1" t="str">
        <f ca="1">IFERROR(__xludf.DUMMYFUNCTION("""COMPUTED_VALUE"""),"- Эффективная работа с клиентами. Сопровождение и развитие постоянных клиентов
- Делим клиентов на новых и старых
- Стоимость привлечения нового клиента
- Аналитика стоимости клиента по каналам маркетинга
- Как считать стоимость клиента с офлайн мероприят"&amp;"ий
- Что дешевле: работать со старым клиентом или привлекать нового
- Способы увеличения LTV 
- Почему важно работать с клиентом до конца")</f>
        <v>- Эффективная работа с клиентами. Сопровождение и развитие постоянных клиентов
- Делим клиентов на новых и старых
- Стоимость привлечения нового клиента
- Аналитика стоимости клиента по каналам маркетинга
- Как считать стоимость клиента с офлайн мероприятий
- Что дешевле: работать со старым клиентом или привлекать нового
- Способы увеличения LTV 
- Почему важно работать с клиентом до конца</v>
      </c>
    </row>
    <row r="287" spans="1:4" ht="12.75" x14ac:dyDescent="0.2">
      <c r="A287" s="1"/>
      <c r="B287" s="4" t="str">
        <f ca="1">IFERROR(__xludf.DUMMYFUNCTION("""COMPUTED_VALUE"""),"5 точек роста онлайн")</f>
        <v>5 точек роста онлайн</v>
      </c>
      <c r="C287" s="4" t="str">
        <f ca="1">IFERROR(__xludf.DUMMYFUNCTION("""COMPUTED_VALUE"""),"Как снизить финансовые риски")</f>
        <v>Как снизить финансовые риски</v>
      </c>
      <c r="D287" s="1" t="str">
        <f ca="1">IFERROR(__xludf.DUMMYFUNCTION("""COMPUTED_VALUE"""),"- Как снизить риски уже сегодня
- Как правильно вести налоговый учет, чтобы сохранить бюджет и не терять деньги
- Виды финансовых рисков
- За что могут наказать собственника
- Как защитить себя от штрафов и потерь
- Как сделать так, чтобы не было кассовых"&amp;" разрывов")</f>
        <v>- Как снизить риски уже сегодня
- Как правильно вести налоговый учет, чтобы сохранить бюджет и не терять деньги
- Виды финансовых рисков
- За что могут наказать собственника
- Как защитить себя от штрафов и потерь
- Как сделать так, чтобы не было кассовых разрывов</v>
      </c>
    </row>
    <row r="288" spans="1:4" ht="25.5" x14ac:dyDescent="0.2">
      <c r="A288" s="1"/>
      <c r="B288" s="4" t="str">
        <f ca="1">IFERROR(__xludf.DUMMYFUNCTION("""COMPUTED_VALUE"""),"5 точек роста онлайн")</f>
        <v>5 точек роста онлайн</v>
      </c>
      <c r="C288" s="4" t="str">
        <f ca="1">IFERROR(__xludf.DUMMYFUNCTION("""COMPUTED_VALUE"""),"Управление финансовыми потоками руководителя")</f>
        <v>Управление финансовыми потоками руководителя</v>
      </c>
      <c r="D288" s="1" t="str">
        <f ca="1">IFERROR(__xludf.DUMMYFUNCTION("""COMPUTED_VALUE"""),"- Как упорядочить и взять под контроль финансы в компании?
- Построение современной финансовой службы
- Актуальные финансовые инструменты
- Типовые финансовые модели и способы управления финансами
- Финансовое планирование и бюджетирование
- Контроль фина"&amp;"нсовых результатов в компании")</f>
        <v>- Как упорядочить и взять под контроль финансы в компании?
- Построение современной финансовой службы
- Актуальные финансовые инструменты
- Типовые финансовые модели и способы управления финансами
- Финансовое планирование и бюджетирование
- Контроль финансовых результатов в компании</v>
      </c>
    </row>
    <row r="289" spans="1:4" ht="63.75" x14ac:dyDescent="0.2">
      <c r="A289" s="1"/>
      <c r="B289" s="4" t="str">
        <f ca="1">IFERROR(__xludf.DUMMYFUNCTION("""COMPUTED_VALUE"""),"5 точек роста онлайн")</f>
        <v>5 точек роста онлайн</v>
      </c>
      <c r="C289" s="4" t="str">
        <f ca="1">IFERROR(__xludf.DUMMYFUNCTION("""COMPUTED_VALUE"""),"Создание прибыльной стратегии. 10 кейсов для юридического оформления отношений, мотивации сотрудников и партнеров")</f>
        <v>Создание прибыльной стратегии. 10 кейсов для юридического оформления отношений, мотивации сотрудников и партнеров</v>
      </c>
      <c r="D289" s="1" t="str">
        <f ca="1">IFERROR(__xludf.DUMMYFUNCTION("""COMPUTED_VALUE"""),"- Как выявить уникальное ценностное предложение своего продукта/услуги. Из чего состоит структура бизнес-модели 
- Легальные способы оптимизации затрат на персонал
- Юридическое закрепление системы мотивации сотрудников, KPI, бонусы и вознаграждения для о"&amp;"тдела продаж и других специалистов 
- Правовые рекомендации при найме: от объявления о вакансии до испытательного срока 
- Конфликтное увольнение работника. Законные способы увольнения. Разбор практики 
- Выстраивание отношений с партнерами бизнеса. Чек-л"&amp;"ист, подводные камни, разбор судебной практики")</f>
        <v>- Как выявить уникальное ценностное предложение своего продукта/услуги. Из чего состоит структура бизнес-модели 
- Легальные способы оптимизации затрат на персонал
- Юридическое закрепление системы мотивации сотрудников, KPI, бонусы и вознаграждения для отдела продаж и других специалистов 
- Правовые рекомендации при найме: от объявления о вакансии до испытательного срока 
- Конфликтное увольнение работника. Законные способы увольнения. Разбор практики 
- Выстраивание отношений с партнерами бизнеса. Чек-лист, подводные камни, разбор судебной практики</v>
      </c>
    </row>
    <row r="290" spans="1:4" ht="38.25" x14ac:dyDescent="0.2">
      <c r="A290" s="1"/>
      <c r="B290" s="4" t="str">
        <f ca="1">IFERROR(__xludf.DUMMYFUNCTION("""COMPUTED_VALUE"""),"5 точек роста онлайн")</f>
        <v>5 точек роста онлайн</v>
      </c>
      <c r="C290" s="4" t="str">
        <f ca="1">IFERROR(__xludf.DUMMYFUNCTION("""COMPUTED_VALUE"""),"Финансы. Юридические проблемы в бизнесе. 8 решений из практики ")</f>
        <v xml:space="preserve">Финансы. Юридические проблемы в бизнесе. 8 решений из практики </v>
      </c>
      <c r="D290" s="1" t="str">
        <f ca="1">IFERROR(__xludf.DUMMYFUNCTION("""COMPUTED_VALUE"""),"- Проверка налоговой: по каким критериям ИФНС выезжает на проверку?
- Воровство работником организации: практические советы юриста. Система предотвращения и взыскания в компании
- Юридическая небрежность предпринимателя при подписании договора. Как сделат"&amp;"ь бизнес стабильным?
- Ошибки предпринимателей при исполнении договоров 
- Одностороннее расторжение договоров: законные методы
- Претензии клиентов. Разбор ошибок и правовые рекомендации
- Юридические требования к сайту и соцсетям")</f>
        <v>- Проверка налоговой: по каким критериям ИФНС выезжает на проверку?
- Воровство работником организации: практические советы юриста. Система предотвращения и взыскания в компании
- Юридическая небрежность предпринимателя при подписании договора. Как сделать бизнес стабильным?
- Ошибки предпринимателей при исполнении договоров 
- Одностороннее расторжение договоров: законные методы
- Претензии клиентов. Разбор ошибок и правовые рекомендации
- Юридические требования к сайту и соцсетям</v>
      </c>
    </row>
    <row r="291" spans="1:4" ht="25.5" x14ac:dyDescent="0.2">
      <c r="A291" s="1"/>
      <c r="B291" s="4" t="str">
        <f ca="1">IFERROR(__xludf.DUMMYFUNCTION("""COMPUTED_VALUE"""),"Офлайн Бизнес на внешних рынках")</f>
        <v>Офлайн Бизнес на внешних рынках</v>
      </c>
      <c r="C291" s="4" t="str">
        <f ca="1">IFERROR(__xludf.DUMMYFUNCTION("""COMPUTED_VALUE"""),"Основы внешнеэкономической деятельности")</f>
        <v>Основы внешнеэкономической деятельности</v>
      </c>
      <c r="D291" s="1" t="str">
        <f ca="1">IFERROR(__xludf.DUMMYFUNCTION("""COMPUTED_VALUE"""),"- Основные понятия ВЭД 
- Структура ведения ВЭД процессов в компании 
- Определение и формирование целей и задач для работы на международных рынках
- Основы гос регулирования в ВЭД  
- Структура ВЭД сделки. ВЭД контракт
- ВЭД экономика и мировая практика
"&amp;"- Тренды в направлении ВЭД")</f>
        <v>- Основные понятия ВЭД 
- Структура ведения ВЭД процессов в компании 
- Определение и формирование целей и задач для работы на международных рынках
- Основы гос регулирования в ВЭД  
- Структура ВЭД сделки. ВЭД контракт
- ВЭД экономика и мировая практика
- Тренды в направлении ВЭД</v>
      </c>
    </row>
    <row r="292" spans="1:4" ht="38.25" x14ac:dyDescent="0.2">
      <c r="A292" s="1"/>
      <c r="B292" s="4" t="str">
        <f ca="1">IFERROR(__xludf.DUMMYFUNCTION("""COMPUTED_VALUE"""),"Офлайн Бизнес на внешних рынках")</f>
        <v>Офлайн Бизнес на внешних рынках</v>
      </c>
      <c r="C292" s="4" t="str">
        <f ca="1">IFERROR(__xludf.DUMMYFUNCTION("""COMPUTED_VALUE"""),"Организация работы на внешних рынках. Таможенное оформление и логистика")</f>
        <v>Организация работы на внешних рынках. Таможенное оформление и логистика</v>
      </c>
      <c r="D292" s="1" t="str">
        <f ca="1">IFERROR(__xludf.DUMMYFUNCTION("""COMPUTED_VALUE"""),"- Цели и сущность регулирования ВЭД
- НПА акты регулирующие ВЭД 
- Процесс таможенного оформления. Структура ТН ВЭД
- Таможенные процедуры и таможенный контроль 
- Организация перевозок различными видами транспорта. Учет логистических издержек в ценообраз"&amp;"овании")</f>
        <v>- Цели и сущность регулирования ВЭД
- НПА акты регулирующие ВЭД 
- Процесс таможенного оформления. Структура ТН ВЭД
- Таможенные процедуры и таможенный контроль 
- Организация перевозок различными видами транспорта. Учет логистических издержек в ценообразовании</v>
      </c>
    </row>
    <row r="293" spans="1:4" ht="25.5" x14ac:dyDescent="0.2">
      <c r="A293" s="1"/>
      <c r="B293" s="4" t="str">
        <f ca="1">IFERROR(__xludf.DUMMYFUNCTION("""COMPUTED_VALUE"""),"Офлайн Бизнес на внешних рынках")</f>
        <v>Офлайн Бизнес на внешних рынках</v>
      </c>
      <c r="C293" s="4" t="str">
        <f ca="1">IFERROR(__xludf.DUMMYFUNCTION("""COMPUTED_VALUE"""),"Выход на внешние рынки. Как найти партнёра")</f>
        <v>Выход на внешние рынки. Как найти партнёра</v>
      </c>
      <c r="D293" s="1" t="str">
        <f ca="1">IFERROR(__xludf.DUMMYFUNCTION("""COMPUTED_VALUE"""),"- Особенности работы с иностранными партнерами 
- План выхода на зарубежные рынки
- Анализ потенциала зарубежного рынка и выбор целевых направлений ВЭД 
- Методы поиска покупателей за рубежом 
- Каналы продаж
- Электронная торговля ")</f>
        <v xml:space="preserve">- Особенности работы с иностранными партнерами 
- План выхода на зарубежные рынки
- Анализ потенциала зарубежного рынка и выбор целевых направлений ВЭД 
- Методы поиска покупателей за рубежом 
- Каналы продаж
- Электронная торговля </v>
      </c>
    </row>
    <row r="294" spans="1:4" ht="25.5" x14ac:dyDescent="0.2">
      <c r="A294" s="1"/>
      <c r="B294" s="4" t="str">
        <f ca="1">IFERROR(__xludf.DUMMYFUNCTION("""COMPUTED_VALUE"""),"Офлайн Бизнес на внешних рынках")</f>
        <v>Офлайн Бизнес на внешних рынках</v>
      </c>
      <c r="C294" s="4" t="str">
        <f ca="1">IFERROR(__xludf.DUMMYFUNCTION("""COMPUTED_VALUE"""),"Сертификация продукции для работы на внешних рынках")</f>
        <v>Сертификация продукции для работы на внешних рынках</v>
      </c>
      <c r="D294" s="1" t="str">
        <f ca="1">IFERROR(__xludf.DUMMYFUNCTION("""COMPUTED_VALUE"""),"- Тарифное регулирование
- Нетарифное регулирование
- Безопасность продукции как условие доступа на рынок
- Особенности и ошибки при прохождении сертификации продукции
- Структура системы органов сертификации и формы подтверждения соответствия продукции")</f>
        <v>- Тарифное регулирование
- Нетарифное регулирование
- Безопасность продукции как условие доступа на рынок
- Особенности и ошибки при прохождении сертификации продукции
- Структура системы органов сертификации и формы подтверждения соответствия продукции</v>
      </c>
    </row>
    <row r="295" spans="1:4" ht="25.5" x14ac:dyDescent="0.2">
      <c r="A295" s="1"/>
      <c r="B295" s="4" t="str">
        <f ca="1">IFERROR(__xludf.DUMMYFUNCTION("""COMPUTED_VALUE"""),"Офлайн Бизнес на внешних рынках")</f>
        <v>Офлайн Бизнес на внешних рынках</v>
      </c>
      <c r="C295" s="4" t="str">
        <f ca="1">IFERROR(__xludf.DUMMYFUNCTION("""COMPUTED_VALUE"""),"Валютные операции и валютный контроль")</f>
        <v>Валютные операции и валютный контроль</v>
      </c>
      <c r="D295" s="1" t="str">
        <f ca="1">IFERROR(__xludf.DUMMYFUNCTION("""COMPUTED_VALUE"""),"- Система международных НПА (нормативно-правовых актов)
- Валютный контроль в РФ
- Обмен налоговой информации по международным контрактам
- Особенности открытия счетов за рубежом
- Международные торговые дома
- Система ответственности за нарушение сроков "&amp;"по валютному контролю")</f>
        <v>- Система международных НПА (нормативно-правовых актов)
- Валютный контроль в РФ
- Обмен налоговой информации по международным контрактам
- Особенности открытия счетов за рубежом
- Международные торговые дома
- Система ответственности за нарушение сроков по валютному контролю</v>
      </c>
    </row>
    <row r="296" spans="1:4" ht="25.5" x14ac:dyDescent="0.2">
      <c r="A296" s="1"/>
      <c r="B296" s="4" t="str">
        <f ca="1">IFERROR(__xludf.DUMMYFUNCTION("""COMPUTED_VALUE"""),"Офлайн Бизнес на внешних рынках")</f>
        <v>Офлайн Бизнес на внешних рынках</v>
      </c>
      <c r="C296" s="4" t="str">
        <f ca="1">IFERROR(__xludf.DUMMYFUNCTION("""COMPUTED_VALUE"""),"Деловая коммуникация в ВЭД. Практика ведения переговоров")</f>
        <v>Деловая коммуникация в ВЭД. Практика ведения переговоров</v>
      </c>
      <c r="D296" s="1" t="str">
        <f ca="1">IFERROR(__xludf.DUMMYFUNCTION("""COMPUTED_VALUE"""),"- Каналы коммуникации и участники процесса
- Алгоритм первичной коммуникации с иностранным партнером
- Проверка деловой репутации поставщика или покупателя
- Риски и угрозы 
- Технологии ведения вэд-переговоров
- Меры государственной поддержки в ВЭД")</f>
        <v>- Каналы коммуникации и участники процесса
- Алгоритм первичной коммуникации с иностранным партнером
- Проверка деловой репутации поставщика или покупателя
- Риски и угрозы 
- Технологии ведения вэд-переговоров
- Меры государственной поддержки в ВЭД</v>
      </c>
    </row>
    <row r="297" spans="1:4" ht="38.25" x14ac:dyDescent="0.2">
      <c r="A297" s="1"/>
      <c r="B297" s="4"/>
      <c r="C297" s="4" t="str">
        <f ca="1">IFERROR(__xludf.DUMMYFUNCTION("""COMPUTED_VALUE"""),"Как продавать иностранным клиентам? Запуск товаров на маркетплейсы")</f>
        <v>Как продавать иностранным клиентам? Запуск товаров на маркетплейсы</v>
      </c>
      <c r="D297" s="1" t="str">
        <f ca="1">IFERROR(__xludf.DUMMYFUNCTION("""COMPUTED_VALUE"""),"- Общее понятие маркетплейсов. Тренды развития e-commerce. Ведение торговли из России
- Маркетплейсы и e-commerce. В чем отличие
- Гайд по крупнейшим американским маркетплейсам: Amazon и Ebay
- Что можно продавать? Категории товаров
- Форматы торговли: dr"&amp;"oppshipping, online arbitrage, private label
- Комиссии, логистика, регистрация")</f>
        <v>- Общее понятие маркетплейсов. Тренды развития e-commerce. Ведение торговли из России
- Маркетплейсы и e-commerce. В чем отличие
- Гайд по крупнейшим американским маркетплейсам: Amazon и Ebay
- Что можно продавать? Категории товаров
- Форматы торговли: droppshipping, online arbitrage, private label
- Комиссии, логистика, регистрация</v>
      </c>
    </row>
    <row r="298" spans="1:4" ht="38.25" x14ac:dyDescent="0.2">
      <c r="A298" s="1"/>
      <c r="B298" s="4"/>
      <c r="C298" s="4" t="str">
        <f ca="1">IFERROR(__xludf.DUMMYFUNCTION("""COMPUTED_VALUE"""),"Стратегия успешных продаж на Российских маркетплейсах. От новичка до производителя")</f>
        <v>Стратегия успешных продаж на Российских маркетплейсах. От новичка до производителя</v>
      </c>
      <c r="D298" s="1" t="str">
        <f ca="1">IFERROR(__xludf.DUMMYFUNCTION("""COMPUTED_VALUE"""),"- Российские маркетплейсы. Тренды. Масштаб
- Гайд по крупнейшим российским маркетплейсам Wildberries, Lamoda, Ozon, Beru
- Особенности каждого маркетплейса
- Категории товаров на платформах
- Особенности регистрации на платформах. Требования к партнеру
- "&amp;"Выстраиваем логистику ")</f>
        <v xml:space="preserve">- Российские маркетплейсы. Тренды. Масштаб
- Гайд по крупнейшим российским маркетплейсам Wildberries, Lamoda, Ozon, Beru
- Особенности каждого маркетплейса
- Категории товаров на платформах
- Особенности регистрации на платформах. Требования к партнеру
- Выстраиваем логистику </v>
      </c>
    </row>
    <row r="299" spans="1:4" ht="25.5" x14ac:dyDescent="0.2">
      <c r="A299" s="1"/>
      <c r="B299" s="4" t="str">
        <f ca="1">IFERROR(__xludf.DUMMYFUNCTION("""COMPUTED_VALUE"""),"Бизнес-старт АГРО")</f>
        <v>Бизнес-старт АГРО</v>
      </c>
      <c r="C299" s="4" t="str">
        <f ca="1">IFERROR(__xludf.DUMMYFUNCTION("""COMPUTED_VALUE"""),"Навигатор агробизнеса для стартапов")</f>
        <v>Навигатор агробизнеса для стартапов</v>
      </c>
      <c r="D299" s="1" t="str">
        <f ca="1">IFERROR(__xludf.DUMMYFUNCTION("""COMPUTED_VALUE"""),"- Агробизнес: понятие и сферы деятельности
- Нормативные правовые акты и иные официальные документы регулирующие Агробизнес (простым языком о сложном)
- Понятие, признаки и способы ведения предпринимательской деятельности в Агробизнесе  
- Государственное"&amp;" регулирование агробизнеса")</f>
        <v>- Агробизнес: понятие и сферы деятельности
- Нормативные правовые акты и иные официальные документы регулирующие Агробизнес (простым языком о сложном)
- Понятие, признаки и способы ведения предпринимательской деятельности в Агробизнесе  
- Государственное регулирование агробизнеса</v>
      </c>
    </row>
    <row r="300" spans="1:4" ht="25.5" x14ac:dyDescent="0.2">
      <c r="A300" s="1"/>
      <c r="B300" s="4" t="str">
        <f ca="1">IFERROR(__xludf.DUMMYFUNCTION("""COMPUTED_VALUE"""),"Бизнес-старт АГРО")</f>
        <v>Бизнес-старт АГРО</v>
      </c>
      <c r="C300" s="4" t="str">
        <f ca="1">IFERROR(__xludf.DUMMYFUNCTION("""COMPUTED_VALUE"""),"Тренды и популярные направления агробизнеса")</f>
        <v>Тренды и популярные направления агробизнеса</v>
      </c>
      <c r="D300" s="1" t="str">
        <f ca="1">IFERROR(__xludf.DUMMYFUNCTION("""COMPUTED_VALUE"""),"- Топ 5 типичных ошибочных представлений о селе, которые пора забыть
- Село-21-го века. В чем различие с городом? Преимущества села на примере пандемии
- Как правильно выбрать перспективную нишу в сельскохозяйственном бизнесе на долгие годы
- Современные "&amp;"тренды. Мясное и молочное животноводство
- Растениеводство. Плюсы, минусы, трудности
- Как наладить сбыт круглый год")</f>
        <v>- Топ 5 типичных ошибочных представлений о селе, которые пора забыть
- Село-21-го века. В чем различие с городом? Преимущества села на примере пандемии
- Как правильно выбрать перспективную нишу в сельскохозяйственном бизнесе на долгие годы
- Современные тренды. Мясное и молочное животноводство
- Растениеводство. Плюсы, минусы, трудности
- Как наладить сбыт круглый год</v>
      </c>
    </row>
    <row r="301" spans="1:4" ht="25.5" x14ac:dyDescent="0.2">
      <c r="A301" s="1"/>
      <c r="B301" s="4" t="str">
        <f ca="1">IFERROR(__xludf.DUMMYFUNCTION("""COMPUTED_VALUE"""),"Бизнес-старт АГРО")</f>
        <v>Бизнес-старт АГРО</v>
      </c>
      <c r="C301" s="4" t="str">
        <f ca="1">IFERROR(__xludf.DUMMYFUNCTION("""COMPUTED_VALUE"""),"Генерация идей для бизнеса на селе")</f>
        <v>Генерация идей для бизнеса на селе</v>
      </c>
      <c r="D301" s="1" t="str">
        <f ca="1">IFERROR(__xludf.DUMMYFUNCTION("""COMPUTED_VALUE"""),"- Что такое бизнес-идея?
- Критерии отбора новых идей
- Источники бизнес-идей
- Способы генерации идей
- Практика генерации креативных идей для сельского хозяйства на основе мировых трендов
- Проверка жизнеспособности бизнес-идеи")</f>
        <v>- Что такое бизнес-идея?
- Критерии отбора новых идей
- Источники бизнес-идей
- Способы генерации идей
- Практика генерации креативных идей для сельского хозяйства на основе мировых трендов
- Проверка жизнеспособности бизнес-идеи</v>
      </c>
    </row>
    <row r="302" spans="1:4" ht="38.25" x14ac:dyDescent="0.2">
      <c r="A302" s="1"/>
      <c r="B302" s="4" t="str">
        <f ca="1">IFERROR(__xludf.DUMMYFUNCTION("""COMPUTED_VALUE"""),"Бизнес-старт АГРО")</f>
        <v>Бизнес-старт АГРО</v>
      </c>
      <c r="C302" s="4" t="str">
        <f ca="1">IFERROR(__xludf.DUMMYFUNCTION("""COMPUTED_VALUE""")," Развитие сельскохозяйственной кооперации, как решение проблем на селе")</f>
        <v xml:space="preserve"> Развитие сельскохозяйственной кооперации, как решение проблем на селе</v>
      </c>
      <c r="D302" s="1" t="str">
        <f ca="1">IFERROR(__xludf.DUMMYFUNCTION("""COMPUTED_VALUE"""),"- Какая польза от кооперативов для государства и самих кооператоров?
- Успешные сельскохозяйственные кооперативы в России
- Нормативно-правовая основа развития сельскохозяйственных
потребительских кооперативов")</f>
        <v>- Какая польза от кооперативов для государства и самих кооператоров?
- Успешные сельскохозяйственные кооперативы в России
- Нормативно-правовая основа развития сельскохозяйственных
потребительских кооперативов</v>
      </c>
    </row>
    <row r="303" spans="1:4" ht="38.25" x14ac:dyDescent="0.2">
      <c r="A303" s="1"/>
      <c r="B303" s="4" t="str">
        <f ca="1">IFERROR(__xludf.DUMMYFUNCTION("""COMPUTED_VALUE"""),"Бизнес-старт АГРО")</f>
        <v>Бизнес-старт АГРО</v>
      </c>
      <c r="C303" s="4" t="str">
        <f ca="1">IFERROR(__xludf.DUMMYFUNCTION("""COMPUTED_VALUE"""),"Основы и особенности бизнес планирования в Агробизнесе на старте")</f>
        <v>Основы и особенности бизнес планирования в Агробизнесе на старте</v>
      </c>
      <c r="D303" s="1" t="str">
        <f ca="1">IFERROR(__xludf.DUMMYFUNCTION("""COMPUTED_VALUE"""),"- Бизнес-план: содержание ключевых разделов (резюме, организационный, производственный и финансовый план) 
- Секреты создания действенного бизнес-плана для получения господдержки 
- Составление бизнес-плана по шаблону к выбранной бизнес-идее")</f>
        <v>- Бизнес-план: содержание ключевых разделов (резюме, организационный, производственный и финансовый план) 
- Секреты создания действенного бизнес-плана для получения господдержки 
- Составление бизнес-плана по шаблону к выбранной бизнес-идее</v>
      </c>
    </row>
    <row r="304" spans="1:4" ht="12.75" x14ac:dyDescent="0.2">
      <c r="A304" s="1"/>
      <c r="B304" s="4" t="str">
        <f ca="1">IFERROR(__xludf.DUMMYFUNCTION("""COMPUTED_VALUE"""),"Бизнес-старт АГРО")</f>
        <v>Бизнес-старт АГРО</v>
      </c>
      <c r="C304" s="4" t="str">
        <f ca="1">IFERROR(__xludf.DUMMYFUNCTION("""COMPUTED_VALUE"""),"Финансовая модель агробизнеса")</f>
        <v>Финансовая модель агробизнеса</v>
      </c>
      <c r="D304" s="1" t="str">
        <f ca="1">IFERROR(__xludf.DUMMYFUNCTION("""COMPUTED_VALUE"""),"- Определение ключевых статей расхода и дохода бизнеса на примере конкретной организации 
- Расчёт финансовой модели: планирование расходов бизнеса, составление плана доходов и расходов 
- Расчет плана прибылей и убытков агробизнеса
- Расчёт ключевых пока"&amp;"зателей эффективности бизнеса")</f>
        <v>- Определение ключевых статей расхода и дохода бизнеса на примере конкретной организации 
- Расчёт финансовой модели: планирование расходов бизнеса, составление плана доходов и расходов 
- Расчет плана прибылей и убытков агробизнеса
- Расчёт ключевых показателей эффективности бизнеса</v>
      </c>
    </row>
    <row r="305" spans="1:4" ht="38.25" x14ac:dyDescent="0.2">
      <c r="A305" s="1"/>
      <c r="B305" s="4" t="str">
        <f ca="1">IFERROR(__xludf.DUMMYFUNCTION("""COMPUTED_VALUE"""),"Бизнес-старт АГРО")</f>
        <v>Бизнес-старт АГРО</v>
      </c>
      <c r="C305" s="4" t="str">
        <f ca="1">IFERROR(__xludf.DUMMYFUNCTION("""COMPUTED_VALUE"""),"Маркетинговый план и позиционирование для Агростартапов")</f>
        <v>Маркетинговый план и позиционирование для Агростартапов</v>
      </c>
      <c r="D305" s="1" t="str">
        <f ca="1">IFERROR(__xludf.DUMMYFUNCTION("""COMPUTED_VALUE"""),"- Как правильно поставить цель при разработке маркетингового плана?
- Зачем знать свою ЦА и как составить детальный портрет?
- Почему важно проводить конкурентный анализ?
- Как определять каналы сбыта?
- SWOT- анализ
- Зачем самим формировать спрос?
- Кан"&amp;"алы продвижения агробизнеса
- Анализ маркетинговых коммуникаций")</f>
        <v>- Как правильно поставить цель при разработке маркетингового плана?
- Зачем знать свою ЦА и как составить детальный портрет?
- Почему важно проводить конкурентный анализ?
- Как определять каналы сбыта?
- SWOT- анализ
- Зачем самим формировать спрос?
- Каналы продвижения агробизнеса
- Анализ маркетинговых коммуникаций</v>
      </c>
    </row>
    <row r="306" spans="1:4" ht="38.25" x14ac:dyDescent="0.2">
      <c r="A306" s="1"/>
      <c r="B306" s="4" t="str">
        <f ca="1">IFERROR(__xludf.DUMMYFUNCTION("""COMPUTED_VALUE"""),"Бизнес-старт АГРО")</f>
        <v>Бизнес-старт АГРО</v>
      </c>
      <c r="C306" s="4" t="str">
        <f ca="1">IFERROR(__xludf.DUMMYFUNCTION("""COMPUTED_VALUE"""),"Доступные источники государственной поддержки для Агростартапа")</f>
        <v>Доступные источники государственной поддержки для Агростартапа</v>
      </c>
      <c r="D306" s="1" t="str">
        <f ca="1">IFERROR(__xludf.DUMMYFUNCTION("""COMPUTED_VALUE"""),"- Существующие виды государственной поддержки в агросекторе
- Приоритетные направления поддержки в агробизнесе и особенности при их получении
- Как определить соответствие заявленным критериям в программах поддержки? 
- Разработка личной карты обращения з"&amp;"а господдержкой в агросекторе 
- Целевое расходование и проверки, что нужно знать каждому")</f>
        <v>- Существующие виды государственной поддержки в агросекторе
- Приоритетные направления поддержки в агробизнесе и особенности при их получении
- Как определить соответствие заявленным критериям в программах поддержки? 
- Разработка личной карты обращения за господдержкой в агросекторе 
- Целевое расходование и проверки, что нужно знать каждому</v>
      </c>
    </row>
    <row r="307" spans="1:4" ht="25.5" x14ac:dyDescent="0.2">
      <c r="A307" s="1"/>
      <c r="B307" s="4" t="str">
        <f ca="1">IFERROR(__xludf.DUMMYFUNCTION("""COMPUTED_VALUE"""),"Бизнес-старт АГРО")</f>
        <v>Бизнес-старт АГРО</v>
      </c>
      <c r="C307" s="4" t="str">
        <f ca="1">IFERROR(__xludf.DUMMYFUNCTION("""COMPUTED_VALUE"""),"Привлечение инвестиций в Агростартап ")</f>
        <v xml:space="preserve">Привлечение инвестиций в Агростартап </v>
      </c>
      <c r="D307" s="1" t="str">
        <f ca="1">IFERROR(__xludf.DUMMYFUNCTION("""COMPUTED_VALUE"""),"- Выявление ключевых факторов инвест. привлекательности
- Оцифровка ключевых показателей бизнеса  
- Составление аватара инвестора 
- Переговоры с инвестором 
- Юридические нюансы заключения сделки с инвестором  ")</f>
        <v xml:space="preserve">- Выявление ключевых факторов инвест. привлекательности
- Оцифровка ключевых показателей бизнеса  
- Составление аватара инвестора 
- Переговоры с инвестором 
- Юридические нюансы заключения сделки с инвестором  </v>
      </c>
    </row>
    <row r="308" spans="1:4" ht="38.25" x14ac:dyDescent="0.2">
      <c r="A308" s="1"/>
      <c r="B308" s="4"/>
      <c r="C308" s="4" t="str">
        <f ca="1">IFERROR(__xludf.DUMMYFUNCTION("""COMPUTED_VALUE"""),"Разбор компаний как систем продаж: что докрутить, чтобы получить рост продаж?")</f>
        <v>Разбор компаний как систем продаж: что докрутить, чтобы получить рост продаж?</v>
      </c>
      <c r="D308" s="1" t="str">
        <f ca="1">IFERROR(__xludf.DUMMYFUNCTION("""COMPUTED_VALUE"""),"- Система продаж как схема 10 ключевых действий
- Декомпозирование цели в прибыль 
- Каналы и способ продвижения конкретных продуктов
- Тестирование продаж новых продуктов без затрат
- Написание скриптов продаж
- Выстраивание системы мотивации персонала "&amp;"""на результат""
- Еженедельные срезы и оперативки по продажам")</f>
        <v>- Система продаж как схема 10 ключевых действий
- Декомпозирование цели в прибыль 
- Каналы и способ продвижения конкретных продуктов
- Тестирование продаж новых продуктов без затрат
- Написание скриптов продаж
- Выстраивание системы мотивации персонала "на результат"
- Еженедельные срезы и оперативки по продажам</v>
      </c>
    </row>
    <row r="309" spans="1:4" ht="38.25" x14ac:dyDescent="0.2">
      <c r="A309" s="1"/>
      <c r="B309" s="4"/>
      <c r="C309" s="4" t="str">
        <f ca="1">IFERROR(__xludf.DUMMYFUNCTION("""COMPUTED_VALUE"""),"Онлайн-разбор в прямом эфире показателей и бизнесов участников")</f>
        <v>Онлайн-разбор в прямом эфире показателей и бизнесов участников</v>
      </c>
      <c r="D309" s="1" t="str">
        <f ca="1">IFERROR(__xludf.DUMMYFUNCTION("""COMPUTED_VALUE"""),"- Обратная связь по сайтам/рекламе/скриптам/отчётам участников курса
- Предложения по доработке существующих инструментов
- Примеры из своей практики и успешные примеры с рынка
- Откуда можно брать примеры по вашей теме и откуда брать фишки
- Тестовые зво"&amp;"нки в ваш бизнес и бизнес конкурентов и разбор их по качеству ведения переговоров
- Как нанимать и сколько хотят денег опытные сотрудники в ваш бизнес")</f>
        <v>- Обратная связь по сайтам/рекламе/скриптам/отчётам участников курса
- Предложения по доработке существующих инструментов
- Примеры из своей практики и успешные примеры с рынка
- Откуда можно брать примеры по вашей теме и откуда брать фишки
- Тестовые звонки в ваш бизнес и бизнес конкурентов и разбор их по качеству ведения переговоров
- Как нанимать и сколько хотят денег опытные сотрудники в ваш бизнес</v>
      </c>
    </row>
    <row r="310" spans="1:4" ht="25.5" x14ac:dyDescent="0.2">
      <c r="A310" s="1"/>
      <c r="B310" s="4"/>
      <c r="C310" s="4" t="str">
        <f ca="1">IFERROR(__xludf.DUMMYFUNCTION("""COMPUTED_VALUE"""),"Автоматизация системы продаж. Как внедрить и настроить?")</f>
        <v>Автоматизация системы продаж. Как внедрить и настроить?</v>
      </c>
      <c r="D310" s="1" t="str">
        <f ca="1">IFERROR(__xludf.DUMMYFUNCTION("""COMPUTED_VALUE"""),"- Определение этапов продаж
- Подготовка регламентов действий менеджеров по продажам
- Определение правил ведения и учета клиентов отделом продаж
- Формирование системы регулярной отчетности и определение ключевых точек управления системой продаж
- Выбор "&amp;"инструмента автоматизации: CRM, запись звонков, система отчетности и контроля менеджеров")</f>
        <v>- Определение этапов продаж
- Подготовка регламентов действий менеджеров по продажам
- Определение правил ведения и учета клиентов отделом продаж
- Формирование системы регулярной отчетности и определение ключевых точек управления системой продаж
- Выбор инструмента автоматизации: CRM, запись звонков, система отчетности и контроля менеджеров</v>
      </c>
    </row>
    <row r="311" spans="1:4" ht="12.75" x14ac:dyDescent="0.2">
      <c r="A311" s="1"/>
      <c r="B311" s="4" t="str">
        <f ca="1">IFERROR(__xludf.DUMMYFUNCTION("""COMPUTED_VALUE"""),"Модуль")</f>
        <v>Модуль</v>
      </c>
      <c r="C311" s="4" t="str">
        <f ca="1">IFERROR(__xludf.DUMMYFUNCTION("""COMPUTED_VALUE"""),"Финансы. Сохраняй. Преумножай")</f>
        <v>Финансы. Сохраняй. Преумножай</v>
      </c>
      <c r="D311" s="1" t="str">
        <f ca="1">IFERROR(__xludf.DUMMYFUNCTION("""COMPUTED_VALUE"""),"1.Создавай: 
- Математика денег — простые способы учитывать ваши финансы
- Формула идеального бюджета, в котором вам будет хватать на всё
2.Сохраняй:
- Финансовые берега: как контролировать расходы
- Эффект зыбучих песков: воры ваших денег
3.Увеличивай:
-"&amp;" Инвестиции vs Сбережения: когда на самом деле вы должны начать инвестировать
- Основные ошибки начинающих инвесторов
- 10 инвестиционных инструментов для создания пассивного дохода
- Алгоритм, который поможет вам накопить от 100 000 рублей в ближайшем го"&amp;"ду")</f>
        <v>1.Создавай: 
- Математика денег — простые способы учитывать ваши финансы
- Формула идеального бюджета, в котором вам будет хватать на всё
2.Сохраняй:
- Финансовые берега: как контролировать расходы
- Эффект зыбучих песков: воры ваших денег
3.Увеличивай:
- Инвестиции vs Сбережения: когда на самом деле вы должны начать инвестировать
- Основные ошибки начинающих инвесторов
- 10 инвестиционных инструментов для создания пассивного дохода
- Алгоритм, который поможет вам накопить от 100 000 рублей в ближайшем году</v>
      </c>
    </row>
    <row r="312" spans="1:4" ht="38.25" x14ac:dyDescent="0.2">
      <c r="A312" s="1"/>
      <c r="B312" s="4"/>
      <c r="C312" s="4" t="str">
        <f ca="1">IFERROR(__xludf.DUMMYFUNCTION("""COMPUTED_VALUE"""),"Стратегия успешных продаж на маркетплейсах. От новичка до производителя")</f>
        <v>Стратегия успешных продаж на маркетплейсах. От новичка до производителя</v>
      </c>
      <c r="D312" s="1" t="str">
        <f ca="1">IFERROR(__xludf.DUMMYFUNCTION("""COMPUTED_VALUE"""),"- Мультиканальная онлайн-витрина: маркетплейсы, доски объявлений, прайс-агрегаторы
- Как выбрать товар для продажи?
- Обзор топовых маркетплейсов от Amazon до Wildberries
- 7 шагов успешных продаж на маркетплейсах")</f>
        <v>- Мультиканальная онлайн-витрина: маркетплейсы, доски объявлений, прайс-агрегаторы
- Как выбрать товар для продажи?
- Обзор топовых маркетплейсов от Amazon до Wildberries
- 7 шагов успешных продаж на маркетплейсах</v>
      </c>
    </row>
    <row r="313" spans="1:4" ht="25.5" x14ac:dyDescent="0.2">
      <c r="A313" s="1"/>
      <c r="B313" s="4" t="str">
        <f ca="1">IFERROR(__xludf.DUMMYFUNCTION("""COMPUTED_VALUE"""),"Модуль")</f>
        <v>Модуль</v>
      </c>
      <c r="C313" s="4" t="str">
        <f ca="1">IFERROR(__xludf.DUMMYFUNCTION("""COMPUTED_VALUE"""),"Эффективная презентация. Как делать продающие презентации?")</f>
        <v>Эффективная презентация. Как делать продающие презентации?</v>
      </c>
      <c r="D313" s="1" t="str">
        <f ca="1">IFERROR(__xludf.DUMMYFUNCTION("""COMPUTED_VALUE"""),"- Презентация как особый вид продажи
- Подготовка к презентации
- Структура и содержание презентации
- Визуальное сопровождение презентации и раздаточные материалы 
- Проведение презентации. Навыки публичных выступлений
- Работа со сложными вопросами и """&amp;"вредными"" клиентами
- Инструменты создания презентации
- Завершение презентации")</f>
        <v>- Презентация как особый вид продажи
- Подготовка к презентации
- Структура и содержание презентации
- Визуальное сопровождение презентации и раздаточные материалы 
- Проведение презентации. Навыки публичных выступлений
- Работа со сложными вопросами и "вредными" клиентами
- Инструменты создания презентации
- Завершение презентации</v>
      </c>
    </row>
    <row r="314" spans="1:4" ht="25.5" x14ac:dyDescent="0.2">
      <c r="A314" s="1"/>
      <c r="B314" s="4" t="str">
        <f ca="1">IFERROR(__xludf.DUMMYFUNCTION("""COMPUTED_VALUE"""),"Модуль")</f>
        <v>Модуль</v>
      </c>
      <c r="C314" s="4" t="str">
        <f ca="1">IFERROR(__xludf.DUMMYFUNCTION("""COMPUTED_VALUE"""),"Формирование лидерского поведения")</f>
        <v>Формирование лидерского поведения</v>
      </c>
      <c r="D314" s="1" t="str">
        <f ca="1">IFERROR(__xludf.DUMMYFUNCTION("""COMPUTED_VALUE"""),"- Уточнение терминов: Группа, Команда, Лидерство, Цель, Задача, Делегирование, Стимулирование, Обратная связь, Власть
- Лидер и менеджер: сходства, различия, сочетания
- Свойства, характеристик, черты лидера. Методы развития лидерских качеств
- Формирован"&amp;"ие культуры и норм в команде
- Формулирование личных целей
- Делегирование работ и полномочий лидером в команде
- Обратная связь команде о выполнении задач (позитивное стимулирование и конструктивная критика)
- Саморазвитие лидера, методы и подходы. Плани"&amp;"рование собственного развития как лидера")</f>
        <v>- Уточнение терминов: Группа, Команда, Лидерство, Цель, Задача, Делегирование, Стимулирование, Обратная связь, Власть
- Лидер и менеджер: сходства, различия, сочетания
- Свойства, характеристик, черты лидера. Методы развития лидерских качеств
- Формирование культуры и норм в команде
- Формулирование личных целей
- Делегирование работ и полномочий лидером в команде
- Обратная связь команде о выполнении задач (позитивное стимулирование и конструктивная критика)
- Саморазвитие лидера, методы и подходы. Планирование собственного развития как лидера</v>
      </c>
    </row>
    <row r="315" spans="1:4" ht="38.25" x14ac:dyDescent="0.2">
      <c r="A315" s="1"/>
      <c r="B315" s="4" t="str">
        <f ca="1">IFERROR(__xludf.DUMMYFUNCTION("""COMPUTED_VALUE"""),"Модуль")</f>
        <v>Модуль</v>
      </c>
      <c r="C315" s="4" t="str">
        <f ca="1">IFERROR(__xludf.DUMMYFUNCTION("""COMPUTED_VALUE"""),"Cоциальное предпринимательство. Особенности социального бизнеса ")</f>
        <v xml:space="preserve">Cоциальное предпринимательство. Особенности социального бизнеса </v>
      </c>
      <c r="D315" s="1" t="str">
        <f ca="1">IFERROR(__xludf.DUMMYFUNCTION("""COMPUTED_VALUE"""),"- Особенности социального предпринимательства 
- Баланс между финансово успешным бизнесом и благотворительностью
- Этапы создания собственного социального бизнеса с нуля 
- Основные ошибки. Возможности, которые нельзя упустить
- Правильное позиционировани"&amp;"е проекта при выстраивании имиджа 
- «Это социальный проект, а не бизнес» ")</f>
        <v xml:space="preserve">- Особенности социального предпринимательства 
- Баланс между финансово успешным бизнесом и благотворительностью
- Этапы создания собственного социального бизнеса с нуля 
- Основные ошибки. Возможности, которые нельзя упустить
- Правильное позиционирование проекта при выстраивании имиджа 
- «Это социальный проект, а не бизнес» </v>
      </c>
    </row>
    <row r="316" spans="1:4" ht="51" x14ac:dyDescent="0.2">
      <c r="A316" s="1"/>
      <c r="B316" s="4" t="str">
        <f ca="1">IFERROR(__xludf.DUMMYFUNCTION("""COMPUTED_VALUE"""),"Модуль")</f>
        <v>Модуль</v>
      </c>
      <c r="C316" s="4" t="str">
        <f ca="1">IFERROR(__xludf.DUMMYFUNCTION("""COMPUTED_VALUE"""),"Социальное предпринимательство. Привлечение денег в социальный бизнес")</f>
        <v>Социальное предпринимательство. Привлечение денег в социальный бизнес</v>
      </c>
      <c r="D316" s="1" t="str">
        <f ca="1">IFERROR(__xludf.DUMMYFUNCTION("""COMPUTED_VALUE"""),"- Привлечение стартового капитала на запуск социального бизнеса
- Взаимодействие со спонсорами, органами власти, СМИ.
24
- Как найти спонсора, а не инвестора? Возможности получения
 государственной поддержки
- PR без бюджета на федеральных каналах")</f>
        <v>- Привлечение стартового капитала на запуск социального бизнеса
- Взаимодействие со спонсорами, органами власти, СМИ.
24
- Как найти спонсора, а не инвестора? Возможности получения
 государственной поддержки
- PR без бюджета на федеральных каналах</v>
      </c>
    </row>
    <row r="317" spans="1:4" ht="51" x14ac:dyDescent="0.2">
      <c r="A317" s="1"/>
      <c r="B317" s="4" t="str">
        <f ca="1">IFERROR(__xludf.DUMMYFUNCTION("""COMPUTED_VALUE"""),"Модуль")</f>
        <v>Модуль</v>
      </c>
      <c r="C317" s="4" t="str">
        <f ca="1">IFERROR(__xludf.DUMMYFUNCTION("""COMPUTED_VALUE"""),"Социальное предпринимательство. Управление социальным бизнесом ")</f>
        <v xml:space="preserve">Социальное предпринимательство. Управление социальным бизнесом </v>
      </c>
      <c r="D317" s="1" t="str">
        <f ca="1">IFERROR(__xludf.DUMMYFUNCTION("""COMPUTED_VALUE"""),"- Антикризисное управление в социальном бизнесе
- Оптимизация расходов, радикальные кадровые решения  
- Поддержание положительного имиджа компании")</f>
        <v>- Антикризисное управление в социальном бизнесе
- Оптимизация расходов, радикальные кадровые решения  
- Поддержание положительного имиджа компании</v>
      </c>
    </row>
    <row r="318" spans="1:4" ht="25.5" x14ac:dyDescent="0.2">
      <c r="A318" s="1"/>
      <c r="B318" s="4" t="str">
        <f ca="1">IFERROR(__xludf.DUMMYFUNCTION("""COMPUTED_VALUE"""),"Модуль")</f>
        <v>Модуль</v>
      </c>
      <c r="C318" s="4" t="str">
        <f ca="1">IFERROR(__xludf.DUMMYFUNCTION("""COMPUTED_VALUE"""),"Бизнес на внешних рынках — как найти покупателя за рубежом")</f>
        <v>Бизнес на внешних рынках — как найти покупателя за рубежом</v>
      </c>
      <c r="D318" s="1" t="str">
        <f ca="1">IFERROR(__xludf.DUMMYFUNCTION("""COMPUTED_VALUE"""),"- Участие в международных выставках
- Организация b2b-встреч
- Продажи на внутреннем рынке
- Онлайн-продажи на B2B – площадках")</f>
        <v>- Участие в международных выставках
- Организация b2b-встреч
- Продажи на внутреннем рынке
- Онлайн-продажи на B2B – площадках</v>
      </c>
    </row>
    <row r="319" spans="1:4" ht="38.25" x14ac:dyDescent="0.2">
      <c r="A319" s="1"/>
      <c r="B319" s="4" t="str">
        <f ca="1">IFERROR(__xludf.DUMMYFUNCTION("""COMPUTED_VALUE"""),"Бизнес старт для самозанятых")</f>
        <v>Бизнес старт для самозанятых</v>
      </c>
      <c r="C319" s="4" t="str">
        <f ca="1">IFERROR(__xludf.DUMMYFUNCTION("""COMPUTED_VALUE"""),"Рестарт для самозанятых. На чем можно заработать самозанятому в 2021 году")</f>
        <v>Рестарт для самозанятых. На чем можно заработать самозанятому в 2021 году</v>
      </c>
      <c r="D319" s="1" t="str">
        <f ca="1">IFERROR(__xludf.DUMMYFUNCTION("""COMPUTED_VALUE"""),"- Общие вводные по всей программе  
- О том, что ждет на курсе, к каким результатам можно прийти и что нужно делать, а чего делать не нужно 
- Сделаем первые шаги к своей мечте
- Юридические аспекты для самозанятых: как и где оформить
- Налог на профессио"&amp;"нальный доход: нормы, регулирующие правоотношения сторон, налоговые вычеты и поддержка государства")</f>
        <v>- Общие вводные по всей программе  
- О том, что ждет на курсе, к каким результатам можно прийти и что нужно делать, а чего делать не нужно 
- Сделаем первые шаги к своей мечте
- Юридические аспекты для самозанятых: как и где оформить
- Налог на профессиональный доход: нормы, регулирующие правоотношения сторон, налоговые вычеты и поддержка государства</v>
      </c>
    </row>
    <row r="320" spans="1:4" ht="25.5" x14ac:dyDescent="0.2">
      <c r="A320" s="1"/>
      <c r="B320" s="4" t="str">
        <f ca="1">IFERROR(__xludf.DUMMYFUNCTION("""COMPUTED_VALUE"""),"Модуль")</f>
        <v>Модуль</v>
      </c>
      <c r="C320" s="4" t="str">
        <f ca="1">IFERROR(__xludf.DUMMYFUNCTION("""COMPUTED_VALUE"""),"8 лайфхаков публичных выступлений")</f>
        <v>8 лайфхаков публичных выступлений</v>
      </c>
      <c r="D320" s="1" t="str">
        <f ca="1">IFERROR(__xludf.DUMMYFUNCTION("""COMPUTED_VALUE"""),"Как устроено восприятие людей?
Что стоит готовить к выступлению?
Как определиться с целью?
Как быть понятнее и логичнее: способы и методы
Способы структурировать речь
Как удержать внимание: способы и методы
Как меньше волноваться во время выступления
Отку"&amp;"да брать энергию для выступления?")</f>
        <v>Как устроено восприятие людей?
Что стоит готовить к выступлению?
Как определиться с целью?
Как быть понятнее и логичнее: способы и методы
Способы структурировать речь
Как удержать внимание: способы и методы
Как меньше волноваться во время выступления
Откуда брать энергию для выступления?</v>
      </c>
    </row>
    <row r="321" spans="1:4" ht="38.25" x14ac:dyDescent="0.2">
      <c r="A321" s="1"/>
      <c r="B321" s="4" t="str">
        <f ca="1">IFERROR(__xludf.DUMMYFUNCTION("""COMPUTED_VALUE"""),"Модуль")</f>
        <v>Модуль</v>
      </c>
      <c r="C321" s="4" t="str">
        <f ca="1">IFERROR(__xludf.DUMMYFUNCTION("""COMPUTED_VALUE"""),"Cоциальное предпринимательство. Особенности социального бизнеса")</f>
        <v>Cоциальное предпринимательство. Особенности социального бизнеса</v>
      </c>
      <c r="D321" s="1" t="str">
        <f ca="1">IFERROR(__xludf.DUMMYFUNCTION("""COMPUTED_VALUE"""),"- Особенности социального предпринимательства 
- Баланс между финансово успешным бизнесом и благотворительностью
- Этапы создания собственного социального бизнеса с нуля 
- Основные ошибки. Возможности, которые нельзя упустить
- Правильное позиционировани"&amp;"е проекта при выстраивании имиджа 
- «Это социальный проект, а не бизнес")</f>
        <v>- Особенности социального предпринимательства 
- Баланс между финансово успешным бизнесом и благотворительностью
- Этапы создания собственного социального бизнеса с нуля 
- Основные ошибки. Возможности, которые нельзя упустить
- Правильное позиционирование проекта при выстраивании имиджа 
- «Это социальный проект, а не бизнес</v>
      </c>
    </row>
    <row r="322" spans="1:4" ht="12.75" x14ac:dyDescent="0.2">
      <c r="A322" s="1"/>
      <c r="B322" s="4" t="str">
        <f ca="1">IFERROR(__xludf.DUMMYFUNCTION("""COMPUTED_VALUE"""),"Горячая линия")</f>
        <v>Горячая линия</v>
      </c>
      <c r="C322" s="4" t="str">
        <f ca="1">IFERROR(__xludf.DUMMYFUNCTION("""COMPUTED_VALUE"""),"Клиентоориентированный сервис")</f>
        <v>Клиентоориентированный сервис</v>
      </c>
      <c r="D322" s="1" t="str">
        <f ca="1">IFERROR(__xludf.DUMMYFUNCTION("""COMPUTED_VALUE"""),"
- Wow-эффект в бизнесе
- Понимание и оценка эффективности клиентоориентированного сервиса
- Сервис как система для построения прибыльного бизнеса")</f>
        <v xml:space="preserve">
- Wow-эффект в бизнесе
- Понимание и оценка эффективности клиентоориентированного сервиса
- Сервис как система для построения прибыльного бизнеса</v>
      </c>
    </row>
    <row r="323" spans="1:4" ht="12.75" x14ac:dyDescent="0.2">
      <c r="A323" s="1"/>
      <c r="B323" s="4" t="str">
        <f ca="1">IFERROR(__xludf.DUMMYFUNCTION("""COMPUTED_VALUE"""),"Горячая линия")</f>
        <v>Горячая линия</v>
      </c>
      <c r="C323" s="4" t="str">
        <f ca="1">IFERROR(__xludf.DUMMYFUNCTION("""COMPUTED_VALUE"""),"Диагностика “горячей линии”")</f>
        <v>Диагностика “горячей линии”</v>
      </c>
      <c r="D323" s="1" t="str">
        <f ca="1">IFERROR(__xludf.DUMMYFUNCTION("""COMPUTED_VALUE"""),"В результате мероприятия: будет дана оценка существующей ""горячей линии"" по ряду параметров. Программа может быть скорректирована с учетом полученных результатов для более тщательной проработки отдельных элементов системы ""горячей линии""")</f>
        <v>В результате мероприятия: будет дана оценка существующей "горячей линии" по ряду параметров. Программа может быть скорректирована с учетом полученных результатов для более тщательной проработки отдельных элементов системы "горячей линии"</v>
      </c>
    </row>
    <row r="324" spans="1:4" ht="38.25" x14ac:dyDescent="0.2">
      <c r="A324" s="1"/>
      <c r="B324" s="4" t="str">
        <f ca="1">IFERROR(__xludf.DUMMYFUNCTION("""COMPUTED_VALUE"""),"Горячая линия")</f>
        <v>Горячая линия</v>
      </c>
      <c r="C324" s="4" t="str">
        <f ca="1">IFERROR(__xludf.DUMMYFUNCTION("""COMPUTED_VALUE"""),"Сессия 1 «3 ШАГА для установки доверия»
")</f>
        <v xml:space="preserve">Сессия 1 «3 ШАГА для установки доверия»
</v>
      </c>
      <c r="D324" s="1" t="str">
        <f ca="1">IFERROR(__xludf.DUMMYFUNCTION("""COMPUTED_VALUE"""),"- Выявление важности быть услышанным — интерактив в группе
- Теоретический блок как слушать, слышать и это показать
- Упражнение в парах практика “Контрактинга”")</f>
        <v>- Выявление важности быть услышанным — интерактив в группе
- Теоретический блок как слушать, слышать и это показать
- Упражнение в парах практика “Контрактинга”</v>
      </c>
    </row>
    <row r="325" spans="1:4" ht="38.25" x14ac:dyDescent="0.2">
      <c r="A325" s="1"/>
      <c r="B325" s="4" t="str">
        <f ca="1">IFERROR(__xludf.DUMMYFUNCTION("""COMPUTED_VALUE"""),"Горячая линия")</f>
        <v>Горячая линия</v>
      </c>
      <c r="C325" s="4" t="str">
        <f ca="1">IFERROR(__xludf.DUMMYFUNCTION("""COMPUTED_VALUE"""),"Сессия 2 «Суперспособности горячей линии»
")</f>
        <v xml:space="preserve">Сессия 2 «Суперспособности горячей линии»
</v>
      </c>
      <c r="D325" s="1" t="str">
        <f ca="1">IFERROR(__xludf.DUMMYFUNCTION("""COMPUTED_VALUE"""),"- Проблематизация отношений с клиентами “Как сейчас” — интерактив 
- Теоретический блок о модели сервиса и роли метафоры в работе с клиентами 
- Создание вдохновляющей модели сервиса для команды (работа в команде) 
- Генерация идей и метафор индивидуально"&amp;" подходящих каждому")</f>
        <v>- Проблематизация отношений с клиентами “Как сейчас” — интерактив 
- Теоретический блок о модели сервиса и роли метафоры в работе с клиентами 
- Создание вдохновляющей модели сервиса для команды (работа в команде) 
- Генерация идей и метафор индивидуально подходящих каждому</v>
      </c>
    </row>
    <row r="326" spans="1:4" ht="25.5" x14ac:dyDescent="0.2">
      <c r="A326" s="1"/>
      <c r="B326" s="4" t="str">
        <f ca="1">IFERROR(__xludf.DUMMYFUNCTION("""COMPUTED_VALUE"""),"Горячая линия")</f>
        <v>Горячая линия</v>
      </c>
      <c r="C326" s="4" t="str">
        <f ca="1">IFERROR(__xludf.DUMMYFUNCTION("""COMPUTED_VALUE"""),"Сессия 3 «Чего хотят клиенты»
")</f>
        <v xml:space="preserve">Сессия 3 «Чего хотят клиенты»
</v>
      </c>
      <c r="D326" s="1" t="str">
        <f ca="1">IFERROR(__xludf.DUMMYFUNCTION("""COMPUTED_VALUE"""),"- Практика проявления эмпатии — интерактив
- Теоретический блок о способах проявления эмпатии 
- Практика проживания опыта
- Определение и кластеризация болей и потребностей клиентов при взаимодействии с горячей линией 
- Формирование и выбор идей для дал"&amp;"ьнейшей работы")</f>
        <v>- Практика проявления эмпатии — интерактив
- Теоретический блок о способах проявления эмпатии 
- Практика проживания опыта
- Определение и кластеризация болей и потребностей клиентов при взаимодействии с горячей линией 
- Формирование и выбор идей для дальнейшей работы</v>
      </c>
    </row>
    <row r="327" spans="1:4" ht="38.25" x14ac:dyDescent="0.2">
      <c r="A327" s="1"/>
      <c r="B327" s="4" t="str">
        <f ca="1">IFERROR(__xludf.DUMMYFUNCTION("""COMPUTED_VALUE"""),"Горячая линия")</f>
        <v>Горячая линия</v>
      </c>
      <c r="C327" s="4" t="str">
        <f ca="1">IFERROR(__xludf.DUMMYFUNCTION("""COMPUTED_VALUE"""),"Сессия 4 «4 сценария работы с клиентом»
")</f>
        <v xml:space="preserve">Сессия 4 «4 сценария работы с клиентом»
</v>
      </c>
      <c r="D327" s="1" t="str">
        <f ca="1">IFERROR(__xludf.DUMMYFUNCTION("""COMPUTED_VALUE"""),"- Создание персон клиентов на основе моделей поведения 
- Описание персон клиентов и присвоение им позитивных имен
- Изучение речевых стратегий и правил отклика на них
- Практика узнавания персон и отклика на их запросы")</f>
        <v>- Создание персон клиентов на основе моделей поведения 
- Описание персон клиентов и присвоение им позитивных имен
- Изучение речевых стратегий и правил отклика на них
- Практика узнавания персон и отклика на их запросы</v>
      </c>
    </row>
    <row r="328" spans="1:4" ht="38.25" x14ac:dyDescent="0.2">
      <c r="A328" s="1"/>
      <c r="B328" s="4" t="str">
        <f ca="1">IFERROR(__xludf.DUMMYFUNCTION("""COMPUTED_VALUE"""),"Горячая линия")</f>
        <v>Горячая линия</v>
      </c>
      <c r="C328" s="4" t="str">
        <f ca="1">IFERROR(__xludf.DUMMYFUNCTION("""COMPUTED_VALUE"""),"Сессия 5 “Искусство создания впечатлений”
")</f>
        <v xml:space="preserve">Сессия 5 “Искусство создания впечатлений”
</v>
      </c>
      <c r="D328" s="1" t="str">
        <f ca="1">IFERROR(__xludf.DUMMYFUNCTION("""COMPUTED_VALUE"""),"- Погружение в опыт участников
- Формирование критериев лояльности с параметрами оценки 
- Аудит лояльности клиентов как сейчас
- Практика технологии создания впечатлений")</f>
        <v>- Погружение в опыт участников
- Формирование критериев лояльности с параметрами оценки 
- Аудит лояльности клиентов как сейчас
- Практика технологии создания впечатлений</v>
      </c>
    </row>
    <row r="329" spans="1:4" ht="25.5" x14ac:dyDescent="0.2">
      <c r="A329" s="1"/>
      <c r="B329" s="4" t="str">
        <f ca="1">IFERROR(__xludf.DUMMYFUNCTION("""COMPUTED_VALUE"""),"Горячая линия")</f>
        <v>Горячая линия</v>
      </c>
      <c r="C329" s="4" t="str">
        <f ca="1">IFERROR(__xludf.DUMMYFUNCTION("""COMPUTED_VALUE"""),"Сессия 6 «Выбираем CRM»
")</f>
        <v xml:space="preserve">Сессия 6 «Выбираем CRM»
</v>
      </c>
      <c r="D329" s="1" t="str">
        <f ca="1">IFERROR(__xludf.DUMMYFUNCTION("""COMPUTED_VALUE"""),"- Создать прототип CRM системы и протестировать на коллегах
- Выявить плюсы и минусы
- Выбрать наиболее подходящую CRM систему из существующих на рынке")</f>
        <v>- Создать прототип CRM системы и протестировать на коллегах
- Выявить плюсы и минусы
- Выбрать наиболее подходящую CRM систему из существующих на рынке</v>
      </c>
    </row>
    <row r="330" spans="1:4" ht="12.75" x14ac:dyDescent="0.2">
      <c r="A330" s="1"/>
      <c r="B330" s="4"/>
      <c r="C330" s="4" t="str">
        <f ca="1">IFERROR(__xludf.DUMMYFUNCTION("""COMPUTED_VALUE"""),"Как открыть турагентство ")</f>
        <v xml:space="preserve">Как открыть турагентство </v>
      </c>
      <c r="D330" s="1" t="str">
        <f ca="1">IFERROR(__xludf.DUMMYFUNCTION("""COMPUTED_VALUE"""),"1. С чего начать (оформление юридического лица, документы) 
2. Офис, сотрудники 
3. Партнеры
4. Бронирование 
5. CRM система
6. оформление договора
7. Маркетинг: Сайт, соцсети")</f>
        <v>1. С чего начать (оформление юридического лица, документы) 
2. Офис, сотрудники 
3. Партнеры
4. Бронирование 
5. CRM система
6. оформление договора
7. Маркетинг: Сайт, соцсети</v>
      </c>
    </row>
    <row r="331" spans="1:4" ht="38.25" x14ac:dyDescent="0.2">
      <c r="A331" s="1"/>
      <c r="B331" s="4"/>
      <c r="C331" s="4" t="str">
        <f ca="1">IFERROR(__xludf.DUMMYFUNCTION("""COMPUTED_VALUE"""),"Как стать туроператором по внутреннему и въездному туризму")</f>
        <v>Как стать туроператором по внутреннему и въездному туризму</v>
      </c>
      <c r="D331" s="1" t="str">
        <f ca="1">IFERROR(__xludf.DUMMYFUNCTION("""COMPUTED_VALUE"""),"1. Оформление документов 
2. Анализ конкурентов
3. Составление маршрута 
4. Продвижение продукта
5. Важные моменты, которые необходимо учесть ( юридические , экономические и тд) ")</f>
        <v xml:space="preserve">1. Оформление документов 
2. Анализ конкурентов
3. Составление маршрута 
4. Продвижение продукта
5. Важные моменты, которые необходимо учесть ( юридические , экономические и тд) </v>
      </c>
    </row>
    <row r="332" spans="1:4" ht="12.75" x14ac:dyDescent="0.2">
      <c r="A332" s="1"/>
      <c r="B332" s="4"/>
      <c r="C332" s="4" t="str">
        <f ca="1">IFERROR(__xludf.DUMMYFUNCTION("""COMPUTED_VALUE"""),"Маркетинг в туризме ")</f>
        <v xml:space="preserve">Маркетинг в туризме </v>
      </c>
      <c r="D332" s="1" t="str">
        <f ca="1">IFERROR(__xludf.DUMMYFUNCTION("""COMPUTED_VALUE"""),"1. Формирование отдела маркетинга 
2. Сайт 
3. Социальные сети 
4. Таргетинг
5. Виды рекламы. Практические примеры ")</f>
        <v xml:space="preserve">1. Формирование отдела маркетинга 
2. Сайт 
3. Социальные сети 
4. Таргетинг
5. Виды рекламы. Практические примеры </v>
      </c>
    </row>
    <row r="333" spans="1:4" ht="12.75" x14ac:dyDescent="0.2">
      <c r="A333" s="1"/>
      <c r="B333" s="4"/>
      <c r="C333" s="4" t="str">
        <f ca="1">IFERROR(__xludf.DUMMYFUNCTION("""COMPUTED_VALUE"""),"Как создать свой авторский тур")</f>
        <v>Как создать свой авторский тур</v>
      </c>
      <c r="D333" s="1" t="str">
        <f ca="1">IFERROR(__xludf.DUMMYFUNCTION("""COMPUTED_VALUE"""),"1. Как найти идею для тура
2. Построение маршрута 
3. Набор группы 
4. Реализация проекта 
5. Маркетинг 
6. Важные моменты, которые необходимо учесть (юридические, экономические и тд)")</f>
        <v>1. Как найти идею для тура
2. Построение маршрута 
3. Набор группы 
4. Реализация проекта 
5. Маркетинг 
6. Важные моменты, которые необходимо учесть (юридические, экономические и тд)</v>
      </c>
    </row>
    <row r="334" spans="1:4" ht="25.5" x14ac:dyDescent="0.2">
      <c r="A334" s="1"/>
      <c r="B334" s="4"/>
      <c r="C334" s="4" t="str">
        <f ca="1">IFERROR(__xludf.DUMMYFUNCTION("""COMPUTED_VALUE"""),"Как сформировать предпринимательское мышление")</f>
        <v>Как сформировать предпринимательское мышление</v>
      </c>
      <c r="D334" s="1" t="str">
        <f ca="1">IFERROR(__xludf.DUMMYFUNCTION("""COMPUTED_VALUE"""),"- Из чего состоит предпринимательское мышление?                                                                                                        
- Можно ли научиться предпринимательскому мышлению?                                                    "&amp;"                                                    
- Почему бизнес-идея ничего не стоит?                                                                                                        
- Чем опасно интуитивное предпринимательство?               "&amp;"                                                                                         
- Как развить в себе предпринимательское мышление?                                                                                                        
- Работа в"&amp;" найме и предпринимательское мышление?                                                                                                        
- Что такое ценностное предложение?                                                                             "&amp;"                                                                                                                               
- Что еще нужно, кроме предпринимательского мышления, чтобы построить устойчивый бизнес?                                       "&amp;"                                                                 ")</f>
        <v xml:space="preserve">- Из чего состоит предпринимательское мышление?                                                                                                        
- Можно ли научиться предпринимательскому мышлению?                                                                                                        
- Почему бизнес-идея ничего не стоит?                                                                                                        
- Чем опасно интуитивное предпринимательство?                                                                                                        
- Как развить в себе предпринимательское мышление?                                                                                                        
- Работа в найме и предпринимательское мышление?                                                                                                        
- Что такое ценностное предложение?                                                                                                                                                                                                            
- Что еще нужно, кроме предпринимательского мышления, чтобы построить устойчивый бизнес?                                                                                                        </v>
      </c>
    </row>
    <row r="335" spans="1:4" ht="63.75" x14ac:dyDescent="0.2">
      <c r="A335" s="1"/>
      <c r="B335" s="4"/>
      <c r="C335" s="4" t="str">
        <f ca="1">IFERROR(__xludf.DUMMYFUNCTION("""COMPUTED_VALUE"""),"Сессия «Как прокачать бизнес-идею или стратегию?». Стратегическая сессия по заданным темам по принципу Дизайн-мышления")</f>
        <v>Сессия «Как прокачать бизнес-идею или стратегию?». Стратегическая сессия по заданным темам по принципу Дизайн-мышления</v>
      </c>
      <c r="D335" s="1" t="str">
        <f ca="1">IFERROR(__xludf.DUMMYFUNCTION("""COMPUTED_VALUE"""),"- Вводная часть ведущего и тестирование участников (точка «А» бизнеса)
- Как прокачать бизнес-идею или стратегию?
- Работа в командах по 5-7 человек (выбор 1 кейса)
- Защита проектов команд
- Подведение итогов")</f>
        <v>- Вводная часть ведущего и тестирование участников (точка «А» бизнеса)
- Как прокачать бизнес-идею или стратегию?
- Работа в командах по 5-7 человек (выбор 1 кейса)
- Защита проектов команд
- Подведение итогов</v>
      </c>
    </row>
    <row r="336" spans="1:4" ht="38.25" x14ac:dyDescent="0.2">
      <c r="A336" s="1"/>
      <c r="B336" s="4" t="str">
        <f ca="1">IFERROR(__xludf.DUMMYFUNCTION("""COMPUTED_VALUE"""),"Ресторанный бизнес")</f>
        <v>Ресторанный бизнес</v>
      </c>
      <c r="C336" s="4" t="str">
        <f ca="1">IFERROR(__xludf.DUMMYFUNCTION("""COMPUTED_VALUE"""),"Лайфхаки и особенности работы заведения общественного питания ")</f>
        <v xml:space="preserve">Лайфхаки и особенности работы заведения общественного питания </v>
      </c>
      <c r="D336" s="1" t="str">
        <f ca="1">IFERROR(__xludf.DUMMYFUNCTION("""COMPUTED_VALUE"""),"− Лайфхаки и особенности работы заведения
− Выбор локации для масштабирования бизнеса
− Форматирование команды
− Построение системы мотивации
− Как описать бизнес-процессы в общепите
− Доставка, самовывоз или ресторан — нюансы работы каждого из направлени"&amp;"й")</f>
        <v>− Лайфхаки и особенности работы заведения
− Выбор локации для масштабирования бизнеса
− Форматирование команды
− Построение системы мотивации
− Как описать бизнес-процессы в общепите
− Доставка, самовывоз или ресторан — нюансы работы каждого из направлений</v>
      </c>
    </row>
    <row r="337" spans="1:4" ht="38.25" x14ac:dyDescent="0.2">
      <c r="A337" s="1"/>
      <c r="B337" s="4" t="str">
        <f ca="1">IFERROR(__xludf.DUMMYFUNCTION("""COMPUTED_VALUE"""),"Ресторанный бизнес")</f>
        <v>Ресторанный бизнес</v>
      </c>
      <c r="C337" s="4" t="str">
        <f ca="1">IFERROR(__xludf.DUMMYFUNCTION("""COMPUTED_VALUE"""),"Современные системы слежения, контроля и учёта для заведений общественного питания")</f>
        <v>Современные системы слежения, контроля и учёта для заведений общественного питания</v>
      </c>
      <c r="D337" s="1" t="str">
        <f ca="1">IFERROR(__xludf.DUMMYFUNCTION("""COMPUTED_VALUE"""),"− «ФэйсТрекер» или как узнать о клиенте все, еще на входе
− Как вести полный учет по клиенту, брать у него обратную связь, подключать к системе лояльности, при этом даже не зная его номер телефона
− Как заранее узнать средний чек клиента, его вкусовые пре"&amp;"дпочтения и даже собрать для него ужин?
− Как может быть организована работа кухни с учетом современных технологий
− ИИ на страже персонала: как бот через камеры может отслеживать все ли персонал делает по инструкции
− Автоматизированная работа с потоковы"&amp;"ми данными. Этический и юридический аспекты")</f>
        <v>− «ФэйсТрекер» или как узнать о клиенте все, еще на входе
− Как вести полный учет по клиенту, брать у него обратную связь, подключать к системе лояльности, при этом даже не зная его номер телефона
− Как заранее узнать средний чек клиента, его вкусовые предпочтения и даже собрать для него ужин?
− Как может быть организована работа кухни с учетом современных технологий
− ИИ на страже персонала: как бот через камеры может отслеживать все ли персонал делает по инструкции
− Автоматизированная работа с потоковыми данными. Этический и юридический аспекты</v>
      </c>
    </row>
    <row r="338" spans="1:4" ht="38.25" x14ac:dyDescent="0.2">
      <c r="A338" s="1"/>
      <c r="B338" s="4" t="str">
        <f ca="1">IFERROR(__xludf.DUMMYFUNCTION("""COMPUTED_VALUE"""),"Ресторанный бизнес")</f>
        <v>Ресторанный бизнес</v>
      </c>
      <c r="C338" s="4" t="str">
        <f ca="1">IFERROR(__xludf.DUMMYFUNCTION("""COMPUTED_VALUE"""),"Как создать сильный бренд компании. Конструктор брендов: 5 основных слоев упаковки бизнеса")</f>
        <v>Как создать сильный бренд компании. Конструктор брендов: 5 основных слоев упаковки бизнеса</v>
      </c>
      <c r="D338" s="1" t="str">
        <f ca="1">IFERROR(__xludf.DUMMYFUNCTION("""COMPUTED_VALUE"""),"− Преимущества упакованного заведения общественного питания
− 8 ключевых элементов в заведении для упаковки: Продукт, Процессы и технологии, Предложение, Команда, Основатель, Опыт, Компания, Место
− Как упаковывать заведение общественного питания? 5 слое"&amp;"в упаковки для каждого элемента бизнеса: Смысловой слой, Маркетинговый слой, Визуальный слой, Технический слой, Аналитический слой
− Кейс: 110 млн рублей валовой годовой выручки предприятия HoReCa только за счет упаковки")</f>
        <v>− Преимущества упакованного заведения общественного питания
− 8 ключевых элементов в заведении для упаковки: Продукт, Процессы и технологии, Предложение, Команда, Основатель, Опыт, Компания, Место
− Как упаковывать заведение общественного питания? 5 слоев упаковки для каждого элемента бизнеса: Смысловой слой, Маркетинговый слой, Визуальный слой, Технический слой, Аналитический слой
− Кейс: 110 млн рублей валовой годовой выручки предприятия HoReCa только за счет упаковки</v>
      </c>
    </row>
    <row r="339" spans="1:4" ht="25.5" x14ac:dyDescent="0.2">
      <c r="A339" s="1"/>
      <c r="B339" s="4" t="str">
        <f ca="1">IFERROR(__xludf.DUMMYFUNCTION("""COMPUTED_VALUE"""),"Ресторанный бизнес")</f>
        <v>Ресторанный бизнес</v>
      </c>
      <c r="C339" s="4" t="str">
        <f ca="1">IFERROR(__xludf.DUMMYFUNCTION("""COMPUTED_VALUE"""),"Как упаковать ваше заведение в успешную франшизу")</f>
        <v>Как упаковать ваше заведение в успешную франшизу</v>
      </c>
      <c r="D339" s="1" t="str">
        <f ca="1">IFERROR(__xludf.DUMMYFUNCTION("""COMPUTED_VALUE"""),"− Каким критериям должна соответствовать франшиза в сфере общественного питания?
− Обзор франчайзинговых площадок
− Какие франшизы будут востребованы сейчас и в ближайшем будущем в сфере питания?
− Рентабельна ли франшиза в микрогородах?
− Состав франча"&amp;"йзингового пакета
− Договор, брендбук, стандарты и регламенты
− Финансовая модель франшизы, презентация
− Товарный знак, команда запуска, методика оценки локаций
− Сопровождение, CRM - система
− Чек-лист готовности бизнеса к упаковке")</f>
        <v>− Каким критериям должна соответствовать франшиза в сфере общественного питания?
− Обзор франчайзинговых площадок
− Какие франшизы будут востребованы сейчас и в ближайшем будущем в сфере питания?
− Рентабельна ли франшиза в микрогородах?
− Состав франчайзингового пакета
− Договор, брендбук, стандарты и регламенты
− Финансовая модель франшизы, презентация
− Товарный знак, команда запуска, методика оценки локаций
− Сопровождение, CRM - система
− Чек-лист готовности бизнеса к упаковке</v>
      </c>
    </row>
    <row r="340" spans="1:4" ht="25.5" x14ac:dyDescent="0.2">
      <c r="A340" s="1"/>
      <c r="B340" s="4" t="str">
        <f ca="1">IFERROR(__xludf.DUMMYFUNCTION("""COMPUTED_VALUE"""),"Ресторанный бизнес")</f>
        <v>Ресторанный бизнес</v>
      </c>
      <c r="C340" s="4" t="str">
        <f ca="1">IFERROR(__xludf.DUMMYFUNCTION("""COMPUTED_VALUE"""),"8 основных программ лояльности. 
Первый гость = постоянный")</f>
        <v>8 основных программ лояльности. 
Первый гость = постоянный</v>
      </c>
      <c r="D340" s="1" t="str">
        <f ca="1">IFERROR(__xludf.DUMMYFUNCTION("""COMPUTED_VALUE"""),"− Подробный разбор 8-ми основных программ лояльности для общественного питания
− Скидка VS бонусная система, что выбрать?
− Создание уникального конструктора взаимоотношений вашего предприятия с клиентом")</f>
        <v>− Подробный разбор 8-ми основных программ лояльности для общественного питания
− Скидка VS бонусная система, что выбрать?
− Создание уникального конструктора взаимоотношений вашего предприятия с клиентом</v>
      </c>
    </row>
    <row r="341" spans="1:4" ht="38.25" x14ac:dyDescent="0.2">
      <c r="A341" s="1"/>
      <c r="B341" s="4"/>
      <c r="C341" s="4" t="str">
        <f ca="1">IFERROR(__xludf.DUMMYFUNCTION("""COMPUTED_VALUE"""),"Как упаковать бизнес во франшизы. Метод  экспресс-упаковки")</f>
        <v>Как упаковать бизнес во франшизы. Метод  экспресс-упаковки</v>
      </c>
      <c r="D341" s="1" t="str">
        <f ca="1">IFERROR(__xludf.DUMMYFUNCTION("""COMPUTED_VALUE"""),"- Как определить, что ваша компания готова к франчайзингу?
- Оцениваем готовность к франчайзингу по чек-листу
- Зачем запускают франшизу: базовые стратегии франчайзеров
- 6 этапов упаковки франшизы
- Упаковываем франшизу быстро: правильный алгоритм создан"&amp;"ия франшизы")</f>
        <v>- Как определить, что ваша компания готова к франчайзингу?
- Оцениваем готовность к франчайзингу по чек-листу
- Зачем запускают франшизу: базовые стратегии франчайзеров
- 6 этапов упаковки франшизы
- Упаковываем франшизу быстро: правильный алгоритм создания франшизы</v>
      </c>
    </row>
    <row r="342" spans="1:4" ht="38.25" x14ac:dyDescent="0.2">
      <c r="A342" s="1"/>
      <c r="B342" s="4"/>
      <c r="C342" s="4" t="str">
        <f ca="1">IFERROR(__xludf.DUMMYFUNCTION("""COMPUTED_VALUE"""),"7 главных ошибок  для тех кто хочет купить или продать свою франшизу")</f>
        <v>7 главных ошибок  для тех кто хочет купить или продать свою франшизу</v>
      </c>
      <c r="D342" s="1" t="str">
        <f ca="1">IFERROR(__xludf.DUMMYFUNCTION("""COMPUTED_VALUE"""),"Менторская гостиная
1. Ошибка фр-зи: 
- ""Забыть про свои компетенции, сильные и слабые стороны""
- ""Купить франшизу, потому что понравился основатель""
- ""Не проверяет прошлое франчайзера и его компаний""
2. Ошибка фр-ра: 
- ""Слишком рано или слишком"&amp;" поздно: когда стоит начать продавать франшизу?""
- ""Отсутствие франшизной иглы""
- ""Несоответствие маркетинга франшизы целевой аудитории""
- ""Продажа франшизы вместо отбора франчайзи""")</f>
        <v>Менторская гостиная
1. Ошибка фр-зи: 
- "Забыть про свои компетенции, сильные и слабые стороны"
- "Купить франшизу, потому что понравился основатель"
- "Не проверяет прошлое франчайзера и его компаний"
2. Ошибка фр-ра: 
- "Слишком рано или слишком поздно: когда стоит начать продавать франшизу?"
- "Отсутствие франшизной иглы"
- "Несоответствие маркетинга франшизы целевой аудитории"
- "Продажа франшизы вместо отбора франчайзи"</v>
      </c>
    </row>
    <row r="343" spans="1:4" ht="25.5" x14ac:dyDescent="0.2">
      <c r="A343" s="1"/>
      <c r="B343" s="4"/>
      <c r="C343" s="4" t="str">
        <f ca="1">IFERROR(__xludf.DUMMYFUNCTION("""COMPUTED_VALUE"""),"Интерактивная игра ""Черный лебедь""")</f>
        <v>Интерактивная игра "Черный лебедь"</v>
      </c>
      <c r="D343" s="1" t="str">
        <f ca="1">IFERROR(__xludf.DUMMYFUNCTION("""COMPUTED_VALUE"""),"Участники игры разбиваются на команды. 
Каждая команда — это одно из мировых государств. 
Внутри команды распределяются функциональные роли: Президент отвечает за модерацию общения внутри команды, распределяет обязанности и принимает окончательные решения"&amp;"; Министр Финансов отвечает за игровые калькуляции; Министр Иностранных Дел отвечает за коммуникацию с другими командами и т. д.
Сюжетной завязкой к игре служит событие типа «чёрный лебедь»: неожиданное труднопрогнозируемое событие со значительными послед"&amp;"ствиями, способное изменить расклад сил на мировой арене: оставить не у дел вчерашних лидеров и принести успех аутсайдерам, при условии что те проявят расторопность и смекалку.
")</f>
        <v xml:space="preserve">Участники игры разбиваются на команды. 
Каждая команда — это одно из мировых государств. 
Внутри команды распределяются функциональные роли: Президент отвечает за модерацию общения внутри команды, распределяет обязанности и принимает окончательные решения; Министр Финансов отвечает за игровые калькуляции; Министр Иностранных Дел отвечает за коммуникацию с другими командами и т. д.
Сюжетной завязкой к игре служит событие типа «чёрный лебедь»: неожиданное труднопрогнозируемое событие со значительными последствиями, способное изменить расклад сил на мировой арене: оставить не у дел вчерашних лидеров и принести успех аутсайдерам, при условии что те проявят расторопность и смекалку.
</v>
      </c>
    </row>
    <row r="344" spans="1:4" ht="25.5" x14ac:dyDescent="0.2">
      <c r="A344" s="1"/>
      <c r="B344" s="4"/>
      <c r="C344" s="4" t="str">
        <f ca="1">IFERROR(__xludf.DUMMYFUNCTION("""COMPUTED_VALUE"""),"Как привлечь бесконечный поток клиентов из интернета")</f>
        <v>Как привлечь бесконечный поток клиентов из интернета</v>
      </c>
      <c r="D344" s="1" t="str">
        <f ca="1">IFERROR(__xludf.DUMMYFUNCTION("""COMPUTED_VALUE"""),"- Как меняется современный маркетинг и что ждет нас в 2021?
- Старый маркетинг не работает: почему проверенные маркетинговые инструменты работают все хуже?
- Как коронавирус повлиял на покупательское поведение?
- Ключевые инструменты продаж 2021 года: как"&amp;" нажать кнопку «купить» в голове покупателя?
- Стратегия в бизнесе для увеличения оборота: как создавать и продвигать продукты и услуги, которые будут покупать?")</f>
        <v>- Как меняется современный маркетинг и что ждет нас в 2021?
- Старый маркетинг не работает: почему проверенные маркетинговые инструменты работают все хуже?
- Как коронавирус повлиял на покупательское поведение?
- Ключевые инструменты продаж 2021 года: как нажать кнопку «купить» в голове покупателя?
- Стратегия в бизнесе для увеличения оборота: как создавать и продвигать продукты и услуги, которые будут покупать?</v>
      </c>
    </row>
    <row r="345" spans="1:4" ht="25.5" x14ac:dyDescent="0.2">
      <c r="A345" s="1"/>
      <c r="B345" s="4"/>
      <c r="C345" s="4" t="str">
        <f ca="1">IFERROR(__xludf.DUMMYFUNCTION("""COMPUTED_VALUE"""),"Как привлечь бесконечный поток клиентов из интернета")</f>
        <v>Как привлечь бесконечный поток клиентов из интернета</v>
      </c>
      <c r="D345" s="1" t="str">
        <f ca="1">IFERROR(__xludf.DUMMYFUNCTION("""COMPUTED_VALUE"""),"- Как меняется современный маркетинг и что ждет нас в 2021?
- Старый маркетинг не работает: почему проверенные маркетинговые инструменты работают все хуже?
- Как коронавирус повлиял на покупательское поведение?
- Ключевые инструменты продаж 2021 года: как"&amp;" нажать кнопку «купить» в голове покупателя?
- Стратегия в бизнесе для увеличения оборота: как создавать и продвигать продукты и услуги, которые будут покупать?")</f>
        <v>- Как меняется современный маркетинг и что ждет нас в 2021?
- Старый маркетинг не работает: почему проверенные маркетинговые инструменты работают все хуже?
- Как коронавирус повлиял на покупательское поведение?
- Ключевые инструменты продаж 2021 года: как нажать кнопку «купить» в голове покупателя?
- Стратегия в бизнесе для увеличения оборота: как создавать и продвигать продукты и услуги, которые будут покупать?</v>
      </c>
    </row>
    <row r="346" spans="1:4" ht="25.5" x14ac:dyDescent="0.2">
      <c r="A346" s="1"/>
      <c r="B346" s="4"/>
      <c r="C346" s="4" t="str">
        <f ca="1">IFERROR(__xludf.DUMMYFUNCTION("""COMPUTED_VALUE"""),"Организация мероприятий туристической направленности")</f>
        <v>Организация мероприятий туристической направленности</v>
      </c>
      <c r="D346" s="1" t="str">
        <f ca="1">IFERROR(__xludf.DUMMYFUNCTION("""COMPUTED_VALUE"""),"- Организация авторских туров (пример конный поход на Алтай, зимняя экспедиция на Байкал, Шантарские острова)
- Организация инфо-туров и блог-туров 
- Событийный туризм 
- Организация походов 
- Организация экскурсионного тура
- Организация экскурсионного"&amp;" обслуживания в отелях")</f>
        <v>- Организация авторских туров (пример конный поход на Алтай, зимняя экспедиция на Байкал, Шантарские острова)
- Организация инфо-туров и блог-туров 
- Событийный туризм 
- Организация походов 
- Организация экскурсионного тура
- Организация экскурсионного обслуживания в отелях</v>
      </c>
    </row>
    <row r="347" spans="1:4" ht="25.5" x14ac:dyDescent="0.2">
      <c r="A347" s="1"/>
      <c r="B347" s="4"/>
      <c r="C347" s="4" t="str">
        <f ca="1">IFERROR(__xludf.DUMMYFUNCTION("""COMPUTED_VALUE"""),"Как собрать команду мечты и удержать ее")</f>
        <v>Как собрать команду мечты и удержать ее</v>
      </c>
      <c r="D347" s="1" t="str">
        <f ca="1">IFERROR(__xludf.DUMMYFUNCTION("""COMPUTED_VALUE"""),"- Как нанимать тех, кто не уйдёт через неделю 
- ЦКП для должностей и зачем они нужны 
- Портреты и типы «внутренних клиентов»
- Как автоматизировать систему обучения и сэкономить до 70% своего времени?")</f>
        <v>- Как нанимать тех, кто не уйдёт через неделю 
- ЦКП для должностей и зачем они нужны 
- Портреты и типы «внутренних клиентов»
- Как автоматизировать систему обучения и сэкономить до 70% своего времени?</v>
      </c>
    </row>
    <row r="348" spans="1:4" ht="25.5" x14ac:dyDescent="0.2">
      <c r="A348" s="1"/>
      <c r="B348" s="4" t="str">
        <f ca="1">IFERROR(__xludf.DUMMYFUNCTION("""COMPUTED_VALUE"""),"Программа подготовки менторов (новая)")</f>
        <v>Программа подготовки менторов (новая)</v>
      </c>
      <c r="C348" s="4" t="str">
        <f ca="1">IFERROR(__xludf.DUMMYFUNCTION("""COMPUTED_VALUE"""),"Менторство – как путь развития руководителя и образ жизни")</f>
        <v>Менторство – как путь развития руководителя и образ жизни</v>
      </c>
      <c r="D348" s="1" t="str">
        <f ca="1">IFERROR(__xludf.DUMMYFUNCTION("""COMPUTED_VALUE"""),"- Менторинг – история, основные принципы, этика профессии, профессиональные сообщества в РФ
- Участники проекта – ментор и менти. Требования к ментору (карта профессиональных и личностных компетенций), требования к менти (личностные особенности)
- Роли ме"&amp;"нтора, сравнение с другими статусами (бизнес-тренер, коуч, трекер, пушер, психотерапевт, друг, инвестор)
- Управленческий стиль и опыт ментора – как влияет на эффективность работы с менти
- Примеры проектов наставничества в личном и корпоративном формате
"&amp;"- Менторство как образ жизни – личный имидж, деловая репутация, востребованность и эффективность ментора
")</f>
        <v xml:space="preserve">- Менторинг – история, основные принципы, этика профессии, профессиональные сообщества в РФ
- Участники проекта – ментор и менти. Требования к ментору (карта профессиональных и личностных компетенций), требования к менти (личностные особенности)
- Роли ментора, сравнение с другими статусами (бизнес-тренер, коуч, трекер, пушер, психотерапевт, друг, инвестор)
- Управленческий стиль и опыт ментора – как влияет на эффективность работы с менти
- Примеры проектов наставничества в личном и корпоративном формате
- Менторство как образ жизни – личный имидж, деловая репутация, востребованность и эффективность ментора
</v>
      </c>
    </row>
    <row r="349" spans="1:4" ht="25.5" x14ac:dyDescent="0.2">
      <c r="A349" s="1"/>
      <c r="B349" s="4" t="str">
        <f ca="1">IFERROR(__xludf.DUMMYFUNCTION("""COMPUTED_VALUE"""),"Программа подготовки менторов (новая)")</f>
        <v>Программа подготовки менторов (новая)</v>
      </c>
      <c r="C349" s="4" t="str">
        <f ca="1">IFERROR(__xludf.DUMMYFUNCTION("""COMPUTED_VALUE"""),"Основные инструменты ментора")</f>
        <v>Основные инструменты ментора</v>
      </c>
      <c r="D349" s="1" t="str">
        <f ca="1">IFERROR(__xludf.DUMMYFUNCTION("""COMPUTED_VALUE"""),"- Знакомство с основными инструментами, используемыми в менторинге
- Формирование навыка применения инструментов 
- Практическая отработка инструментов «Постановка цели и определение критериев эффективности», «Обратная связь», «Тень ментора», «Сторителлин"&amp;"г», цикл обучения примером «EDAC/4П», «Работа с кейсом», «Мотивационная беседа», «Анализ данных», «Корпоративный совет», «Сопровождение на рабочем месте», «Ретроспектива», «Управление изменениями» и др.")</f>
        <v>- Знакомство с основными инструментами, используемыми в менторинге
- Формирование навыка применения инструментов 
- Практическая отработка инструментов «Постановка цели и определение критериев эффективности», «Обратная связь», «Тень ментора», «Сторителлинг», цикл обучения примером «EDAC/4П», «Работа с кейсом», «Мотивационная беседа», «Анализ данных», «Корпоративный совет», «Сопровождение на рабочем месте», «Ретроспектива», «Управление изменениями» и др.</v>
      </c>
    </row>
    <row r="350" spans="1:4" ht="25.5" x14ac:dyDescent="0.2">
      <c r="A350" s="1"/>
      <c r="B350" s="4" t="str">
        <f ca="1">IFERROR(__xludf.DUMMYFUNCTION("""COMPUTED_VALUE"""),"Программа подготовки менторов (новая)")</f>
        <v>Программа подготовки менторов (новая)</v>
      </c>
      <c r="C350" s="4" t="str">
        <f ca="1">IFERROR(__xludf.DUMMYFUNCTION("""COMPUTED_VALUE"""),"Эффективная работа в паре ментор - менти")</f>
        <v>Эффективная работа в паре ментор - менти</v>
      </c>
      <c r="D350" s="1" t="str">
        <f ca="1">IFERROR(__xludf.DUMMYFUNCTION("""COMPUTED_VALUE"""),"- Особенности формирования пар ментор-менти. Кто кого выбирает? Критерии и процедура подбора
- О чем нужно договориться на первой встрече? 7 ошибок в начале работы пары, которых можно избежать
- Какую информацию стоит уточнить до знакомства ментора с мент"&amp;"и?
- Особенности организации процесса знакомства. Как готовиться ко встрече? Кто выбирает место встречи? Где ее проводить?
- Дружба или дистанция? Где грань?
- Регулярность встреч и контрольные точки
")</f>
        <v xml:space="preserve">- Особенности формирования пар ментор-менти. Кто кого выбирает? Критерии и процедура подбора
- О чем нужно договориться на первой встрече? 7 ошибок в начале работы пары, которых можно избежать
- Какую информацию стоит уточнить до знакомства ментора с менти?
- Особенности организации процесса знакомства. Как готовиться ко встрече? Кто выбирает место встречи? Где ее проводить?
- Дружба или дистанция? Где грань?
- Регулярность встреч и контрольные точки
</v>
      </c>
    </row>
    <row r="351" spans="1:4" ht="25.5" x14ac:dyDescent="0.2">
      <c r="A351" s="1"/>
      <c r="B351" s="4" t="str">
        <f ca="1">IFERROR(__xludf.DUMMYFUNCTION("""COMPUTED_VALUE"""),"Программа подготовки менторов (новая)")</f>
        <v>Программа подготовки менторов (новая)</v>
      </c>
      <c r="C351" s="4" t="str">
        <f ca="1">IFERROR(__xludf.DUMMYFUNCTION("""COMPUTED_VALUE"""),"Эффективная работа в паре ментор - менти")</f>
        <v>Эффективная работа в паре ментор - менти</v>
      </c>
      <c r="D351" s="1" t="str">
        <f ca="1">IFERROR(__xludf.DUMMYFUNCTION("""COMPUTED_VALUE"""),"− Изучить алгоритм формирования пар ментор-менти
− Фасилитация как метод групповой работы
− Принципы и методы фасилитации и модерации
− 4 фокуса внимания при работе с группой
− Цели и задачи командных сессий
− 5 этапов проведения командной сессии (постано"&amp;"вка вопроса – генерация идей – кластеризация идей – ранжирование идей – перевод идей в действия)
− Онлайн-инструменты для командных сессий")</f>
        <v>− Изучить алгоритм формирования пар ментор-менти
− Фасилитация как метод групповой работы
− Принципы и методы фасилитации и модерации
− 4 фокуса внимания при работе с группой
− Цели и задачи командных сессий
− 5 этапов проведения командной сессии (постановка вопроса – генерация идей – кластеризация идей – ранжирование идей – перевод идей в действия)
− Онлайн-инструменты для командных сессий</v>
      </c>
    </row>
    <row r="352" spans="1:4" ht="25.5" x14ac:dyDescent="0.2">
      <c r="A352" s="1"/>
      <c r="B352" s="4" t="str">
        <f ca="1">IFERROR(__xludf.DUMMYFUNCTION("""COMPUTED_VALUE"""),"Программа подготовки менторов (новая)")</f>
        <v>Программа подготовки менторов (новая)</v>
      </c>
      <c r="C352" s="4" t="str">
        <f ca="1">IFERROR(__xludf.DUMMYFUNCTION("""COMPUTED_VALUE"""),"Личный бренд ментора")</f>
        <v>Личный бренд ментора</v>
      </c>
      <c r="D352" s="1"/>
    </row>
    <row r="353" spans="1:4" ht="25.5" x14ac:dyDescent="0.2">
      <c r="A353" s="1"/>
      <c r="B353" s="4" t="str">
        <f ca="1">IFERROR(__xludf.DUMMYFUNCTION("""COMPUTED_VALUE"""),"Программа подготовки менторов (новая)")</f>
        <v>Программа подготовки менторов (новая)</v>
      </c>
      <c r="C353" s="4" t="str">
        <f ca="1">IFERROR(__xludf.DUMMYFUNCTION("""COMPUTED_VALUE"""),"Эмоциональный интеллект в работе ментора")</f>
        <v>Эмоциональный интеллект в работе ментора</v>
      </c>
      <c r="D353" s="1" t="str">
        <f ca="1">IFERROR(__xludf.DUMMYFUNCTION("""COMPUTED_VALUE"""),"- Почему эмоциональный интеллект популярен, как он помогает в развитии предпринимательства и в наставничестве
- Эмоциональная компетентность, структура и отличие от эмоционального интеллекта. Физиология и психология эмоций. Уровни осознанности
- Работа со"&amp;" смыслами и установками менти: влияние ключевых установок на качество жизни и общения. Понимание и проживание кризисов
- Эмоции и их влияние в бизнесе и менторинге/наставничестве. Алгоритмы работы с эмоциями менти и своими собственными. Работа с сопротивл"&amp;"ением, негативом, возражениями менти. Коучинговый подход в работе ментора
")</f>
        <v xml:space="preserve">- Почему эмоциональный интеллект популярен, как он помогает в развитии предпринимательства и в наставничестве
- Эмоциональная компетентность, структура и отличие от эмоционального интеллекта. Физиология и психология эмоций. Уровни осознанности
- Работа со смыслами и установками менти: влияние ключевых установок на качество жизни и общения. Понимание и проживание кризисов
- Эмоции и их влияние в бизнесе и менторинге/наставничестве. Алгоритмы работы с эмоциями менти и своими собственными. Работа с сопротивлением, негативом, возражениями менти. Коучинговый подход в работе ментора
</v>
      </c>
    </row>
    <row r="354" spans="1:4" ht="25.5" x14ac:dyDescent="0.2">
      <c r="A354" s="1"/>
      <c r="B354" s="4" t="str">
        <f ca="1">IFERROR(__xludf.DUMMYFUNCTION("""COMPUTED_VALUE"""),"Программа подготовки менторов (новая)")</f>
        <v>Программа подготовки менторов (новая)</v>
      </c>
      <c r="C354" s="4" t="str">
        <f ca="1">IFERROR(__xludf.DUMMYFUNCTION("""COMPUTED_VALUE"""),"Управление эффективностью менторского проекта")</f>
        <v>Управление эффективностью менторского проекта</v>
      </c>
      <c r="D354" s="1" t="str">
        <f ca="1">IFERROR(__xludf.DUMMYFUNCTION("""COMPUTED_VALUE"""),"- Жизненный цикл проекта наставничества, спады и подъемы в отношениях, причины и виды конфликтов между ментором и менти
- Управление динамикой конфликта, принятие решение о продолжении или прекращении сотрудничества
")</f>
        <v xml:space="preserve">- Жизненный цикл проекта наставничества, спады и подъемы в отношениях, причины и виды конфликтов между ментором и менти
- Управление динамикой конфликта, принятие решение о продолжении или прекращении сотрудничества
</v>
      </c>
    </row>
    <row r="355" spans="1:4" ht="25.5" x14ac:dyDescent="0.2">
      <c r="A355" s="1"/>
      <c r="B355" s="4" t="str">
        <f ca="1">IFERROR(__xludf.DUMMYFUNCTION("""COMPUTED_VALUE"""),"Программа подготовки менторов (новая)")</f>
        <v>Программа подготовки менторов (новая)</v>
      </c>
      <c r="C355" s="4" t="str">
        <f ca="1">IFERROR(__xludf.DUMMYFUNCTION("""COMPUTED_VALUE"""),"Сила голоса: как ментору говорить, убеждать, влиять")</f>
        <v>Сила голоса: как ментору говорить, убеждать, влиять</v>
      </c>
      <c r="D355" s="1" t="str">
        <f ca="1">IFERROR(__xludf.DUMMYFUNCTION("""COMPUTED_VALUE"""),"-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кач"&amp;"еств, работа с моторикой и невербаликой
- Энергия голоса, откуда её брать и для чего она нужна ментору 
- Обнаружение и ликвидация блоков на связках")</f>
        <v>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качеств, работа с моторикой и невербаликой
- Энергия голоса, откуда её брать и для чего она нужна ментору 
- Обнаружение и ликвидация блоков на связках</v>
      </c>
    </row>
    <row r="356" spans="1:4" ht="38.25" x14ac:dyDescent="0.2">
      <c r="A356" s="1"/>
      <c r="B356" s="4" t="str">
        <f ca="1">IFERROR(__xludf.DUMMYFUNCTION("""COMPUTED_VALUE"""),"Программа подготовки менторов (новая)")</f>
        <v>Программа подготовки менторов (новая)</v>
      </c>
      <c r="C356" s="4" t="str">
        <f ca="1">IFERROR(__xludf.DUMMYFUNCTION("""COMPUTED_VALUE"""),"Итоговая встреча: Разбор менторских проектов, кейсов из практики участников обучения")</f>
        <v>Итоговая встреча: Разбор менторских проектов, кейсов из практики участников обучения</v>
      </c>
      <c r="D356" s="1" t="str">
        <f ca="1">IFERROR(__xludf.DUMMYFUNCTION("""COMPUTED_VALUE"""),"- Обмен опытом от прохождения курса. Каждый участник делится своим опытом в свободной форме
- УТП ментора – что это и зачем?
- Каждый участник формулирует свое УТП
- Презентация участниками своего УТП и получение обратной связи
- Сложности и опасения в ра"&amp;"боте ментора – кейсы из реальной жизни ментора
")</f>
        <v xml:space="preserve">- Обмен опытом от прохождения курса. Каждый участник делится своим опытом в свободной форме
- УТП ментора – что это и зачем?
- Каждый участник формулирует свое УТП
- Презентация участниками своего УТП и получение обратной связи
- Сложности и опасения в работе ментора – кейсы из реальной жизни ментора
</v>
      </c>
    </row>
    <row r="357" spans="1:4" ht="25.5" x14ac:dyDescent="0.2">
      <c r="A357" s="1"/>
      <c r="B357" s="4" t="str">
        <f ca="1">IFERROR(__xludf.DUMMYFUNCTION("""COMPUTED_VALUE"""),"Продажи четко по делу онлайн")</f>
        <v>Продажи четко по делу онлайн</v>
      </c>
      <c r="C357" s="4" t="str">
        <f ca="1">IFERROR(__xludf.DUMMYFUNCTION("""COMPUTED_VALUE"""),"Психология продаж: работа с внутренними ограничениями")</f>
        <v>Психология продаж: работа с внутренними ограничениями</v>
      </c>
      <c r="D357" s="1" t="str">
        <f ca="1">IFERROR(__xludf.DUMMYFUNCTION("""COMPUTED_VALUE"""),"- Установки о продажах в сознании общества и личности
- Органичивающие убеждения и страхи: отрабатываем зажимы
- Психология выгодной сделки или чем покупка отличается от продажи
- Агрессивные и экологичные продажи: как найти грань 
- 10 ключевых техник уб"&amp;"еждения 
- Деловая игра: умение находить решения в тупиковой ситуации
- Теория ролевого распределения или влияния на бессознательном уровне
- Навык ""Формирование дружелюбого состояния собеседника"" 
- Навык ""Проблема-решение""")</f>
        <v>- Установки о продажах в сознании общества и личности
- Органичивающие убеждения и страхи: отрабатываем зажимы
- Психология выгодной сделки или чем покупка отличается от продажи
- Агрессивные и экологичные продажи: как найти грань 
- 10 ключевых техник убеждения 
- Деловая игра: умение находить решения в тупиковой ситуации
- Теория ролевого распределения или влияния на бессознательном уровне
- Навык "Формирование дружелюбого состояния собеседника" 
- Навык "Проблема-решение"</v>
      </c>
    </row>
    <row r="358" spans="1:4" ht="25.5" x14ac:dyDescent="0.2">
      <c r="A358" s="1"/>
      <c r="B358" s="4" t="str">
        <f ca="1">IFERROR(__xludf.DUMMYFUNCTION("""COMPUTED_VALUE"""),"Продажи четко по делу онлайн")</f>
        <v>Продажи четко по делу онлайн</v>
      </c>
      <c r="C358" s="4" t="str">
        <f ca="1">IFERROR(__xludf.DUMMYFUNCTION("""COMPUTED_VALUE"""),"Математика продаж: бизнес-моделирование")</f>
        <v>Математика продаж: бизнес-моделирование</v>
      </c>
      <c r="D358" s="1" t="str">
        <f ca="1">IFERROR(__xludf.DUMMYFUNCTION("""COMPUTED_VALUE"""),"- Что такое бизнес-моделирование и как оно сэкономит 2-х годовой бюджет вашей компании
- Финансовая модель компании: бюджетирование
- Декомпозиция показателей бизнеса 
- Управление по воронке показателей
- Битва за прибыль: 5 ключевых метрик отдела продаж"&amp;"
- Технологии увеличения отдачи на вложенный капитал")</f>
        <v>- Что такое бизнес-моделирование и как оно сэкономит 2-х годовой бюджет вашей компании
- Финансовая модель компании: бюджетирование
- Декомпозиция показателей бизнеса 
- Управление по воронке показателей
- Битва за прибыль: 5 ключевых метрик отдела продаж
- Технологии увеличения отдачи на вложенный капитал</v>
      </c>
    </row>
    <row r="359" spans="1:4" ht="38.25" x14ac:dyDescent="0.2">
      <c r="A359" s="1"/>
      <c r="B359" s="4" t="str">
        <f ca="1">IFERROR(__xludf.DUMMYFUNCTION("""COMPUTED_VALUE"""),"Продажи четко по делу онлайн")</f>
        <v>Продажи четко по делу онлайн</v>
      </c>
      <c r="C359" s="4" t="str">
        <f ca="1">IFERROR(__xludf.DUMMYFUNCTION("""COMPUTED_VALUE"""),"Предпродажная подготовка: создание и упаковка ценности предложения")</f>
        <v>Предпродажная подготовка: создание и упаковка ценности предложения</v>
      </c>
      <c r="D359" s="1" t="str">
        <f ca="1">IFERROR(__xludf.DUMMYFUNCTION("""COMPUTED_VALUE"""),"- Что такое ценностная модель продукта и как она повышает прибыль
- Прописываем целевые клиентские группы 
- Формируем УТП бизнеса
- Выбираем канал донесения
- Визуальный слой упаковки бизнеса
- Сервис как искусство удержания клиента
- Выход бизнеса во вн"&amp;"еконкурентное поле через презентацию ценности")</f>
        <v>- Что такое ценностная модель продукта и как она повышает прибыль
- Прописываем целевые клиентские группы 
- Формируем УТП бизнеса
- Выбираем канал донесения
- Визуальный слой упаковки бизнеса
- Сервис как искусство удержания клиента
- Выход бизнеса во внеконкурентное поле через презентацию ценности</v>
      </c>
    </row>
    <row r="360" spans="1:4" ht="25.5" x14ac:dyDescent="0.2">
      <c r="A360" s="1"/>
      <c r="B360" s="4" t="str">
        <f ca="1">IFERROR(__xludf.DUMMYFUNCTION("""COMPUTED_VALUE"""),"Продажи четко по делу онлайн")</f>
        <v>Продажи четко по делу онлайн</v>
      </c>
      <c r="C360" s="4" t="str">
        <f ca="1">IFERROR(__xludf.DUMMYFUNCTION("""COMPUTED_VALUE"""),"Откуда брать клиентов: самые выгодные техники лидогенерации")</f>
        <v>Откуда брать клиентов: самые выгодные техники лидогенерации</v>
      </c>
      <c r="D360" s="1" t="str">
        <f ca="1">IFERROR(__xludf.DUMMYFUNCTION("""COMPUTED_VALUE"""),"- ТОП-5 наиболее выгодных техник лидогенерации
- Когда стоит делать самому и когда отдать подрядчику
- Холодные прямые продажи
- Контекстная реклама
- Большая тройка социальных сетей: Инстаграмм + Фейсбук + Вконтакте
- Долгосрочные инструменты продвижения"&amp;": SEO и посев
- Работа с блогерами и городскими сообществами
- Ивент-маркетинг как ядро двухшаговых продаж
- Оценка эффективности рекламы и базовые метрики оценки")</f>
        <v>- ТОП-5 наиболее выгодных техник лидогенерации
- Когда стоит делать самому и когда отдать подрядчику
- Холодные прямые продажи
- Контекстная реклама
- Большая тройка социальных сетей: Инстаграмм + Фейсбук + Вконтакте
- Долгосрочные инструменты продвижения: SEO и посев
- Работа с блогерами и городскими сообществами
- Ивент-маркетинг как ядро двухшаговых продаж
- Оценка эффективности рекламы и базовые метрики оценки</v>
      </c>
    </row>
    <row r="361" spans="1:4" ht="25.5" x14ac:dyDescent="0.2">
      <c r="A361" s="1"/>
      <c r="B361" s="4" t="str">
        <f ca="1">IFERROR(__xludf.DUMMYFUNCTION("""COMPUTED_VALUE"""),"Продажи четко по делу онлайн")</f>
        <v>Продажи четко по делу онлайн</v>
      </c>
      <c r="C361" s="4" t="str">
        <f ca="1">IFERROR(__xludf.DUMMYFUNCTION("""COMPUTED_VALUE"""),"Отдел продаж: что докрутить, чтобы получить рост продаж?")</f>
        <v>Отдел продаж: что докрутить, чтобы получить рост продаж?</v>
      </c>
      <c r="D361" s="1" t="str">
        <f ca="1">IFERROR(__xludf.DUMMYFUNCTION("""COMPUTED_VALUE"""),"- Система продаж как схема 10-ти ключевых действий
- Как выбирать каналы и способы продвижения конкретных продуктов
- Как определять когда, сколько и каких продавцов нанимать 
- Тестирование продажи новых продуктов без затрат
- Скрипты продаж – как писать"&amp;"?
- Как строить систему мотивации персонала ""на результат""
- Как проводить еженедельные срезы и оперативки по продажам")</f>
        <v>- Система продаж как схема 10-ти ключевых действий
- Как выбирать каналы и способы продвижения конкретных продуктов
- Как определять когда, сколько и каких продавцов нанимать 
- Тестирование продажи новых продуктов без затрат
- Скрипты продаж – как писать?
- Как строить систему мотивации персонала "на результат"
- Как проводить еженедельные срезы и оперативки по продажам</v>
      </c>
    </row>
    <row r="362" spans="1:4" ht="25.5" x14ac:dyDescent="0.2">
      <c r="A362" s="1"/>
      <c r="B362" s="4" t="str">
        <f ca="1">IFERROR(__xludf.DUMMYFUNCTION("""COMPUTED_VALUE"""),"Продажи четко по делу онлайн")</f>
        <v>Продажи четко по делу онлайн</v>
      </c>
      <c r="C362" s="4" t="str">
        <f ca="1">IFERROR(__xludf.DUMMYFUNCTION("""COMPUTED_VALUE"""),"Найм персонала: найти и замотивировать продажника")</f>
        <v>Найм персонала: найти и замотивировать продажника</v>
      </c>
      <c r="D362" s="1" t="str">
        <f ca="1">IFERROR(__xludf.DUMMYFUNCTION("""COMPUTED_VALUE"""),"- Как определить нужен ли сотрудник?
- Предел эффективности: когда увольняем и когда ""больше молока не даст""
- Формирование карт рабочего места: обязанности сотрудников
- Система мотивации на результат
- Технология найма за 3 дня 
- Почему сотрудники не"&amp;" выходят? Увеличиваем процент выхода сотрудников на первый рабочий день 
- Система адаптации новичка
- Как использовать испытательный срок
- Все что вы хотели знать об увольнении, но боялись об этом спросить")</f>
        <v>- Как определить нужен ли сотрудник?
- Предел эффективности: когда увольняем и когда "больше молока не даст"
- Формирование карт рабочего места: обязанности сотрудников
- Система мотивации на результат
- Технология найма за 3 дня 
- Почему сотрудники не выходят? Увеличиваем процент выхода сотрудников на первый рабочий день 
- Система адаптации новичка
- Как использовать испытательный срок
- Все что вы хотели знать об увольнении, но боялись об этом спросить</v>
      </c>
    </row>
    <row r="363" spans="1:4" ht="38.25" x14ac:dyDescent="0.2">
      <c r="A363" s="1"/>
      <c r="B363" s="4" t="str">
        <f ca="1">IFERROR(__xludf.DUMMYFUNCTION("""COMPUTED_VALUE"""),"Продажи четко по делу онлайн")</f>
        <v>Продажи четко по делу онлайн</v>
      </c>
      <c r="C363" s="4" t="str">
        <f ca="1">IFERROR(__xludf.DUMMYFUNCTION("""COMPUTED_VALUE"""),"Вебинар: покажи как надо — современные инструменты автоматизации продаж")</f>
        <v>Вебинар: покажи как надо — современные инструменты автоматизации продаж</v>
      </c>
      <c r="D363" s="1" t="str">
        <f ca="1">IFERROR(__xludf.DUMMYFUNCTION("""COMPUTED_VALUE"""),"- Работа с клиентской базой компании
- Внедрение и настройка CRM-системы без бюджета за 20 минут 
- Настройка IP-телефонии
- Контроль результата работы сотрудников через отчёты и метрики
- Привлечение удаленных сотруднкиов и фрилансеров
- Анализ результат"&amp;"ов тестирования гипотез")</f>
        <v>- Работа с клиентской базой компании
- Внедрение и настройка CRM-системы без бюджета за 20 минут 
- Настройка IP-телефонии
- Контроль результата работы сотрудников через отчёты и метрики
- Привлечение удаленных сотруднкиов и фрилансеров
- Анализ результатов тестирования гипотез</v>
      </c>
    </row>
    <row r="364" spans="1:4" ht="25.5" x14ac:dyDescent="0.2">
      <c r="A364" s="1"/>
      <c r="B364" s="4" t="str">
        <f ca="1">IFERROR(__xludf.DUMMYFUNCTION("""COMPUTED_VALUE"""),"Продажи четко по делу онлайн")</f>
        <v>Продажи четко по делу онлайн</v>
      </c>
      <c r="C364" s="4" t="str">
        <f ca="1">IFERROR(__xludf.DUMMYFUNCTION("""COMPUTED_VALUE"""),"Практикум Методик личных переговоров")</f>
        <v>Практикум Методик личных переговоров</v>
      </c>
      <c r="D364" s="1" t="str">
        <f ca="1">IFERROR(__xludf.DUMMYFUNCTION("""COMPUTED_VALUE"""),"- Внутреннее состояние и работа со страхом переговоров 
- Чек-лист подготовки к важным переговорам
- Эффективные переговорные техники
- Чем отличаются переговоры по телефону, в чатах и в живую?
- Техники работы с возражениями клиентов 
- Техники повышения"&amp;" среднего чека и захода на следующую продажу
- Контроль качества переговоров продавцов
- Переговорные навыковые карты – как уникальный инструмент по формированию навыка эффективного ведения переговоров")</f>
        <v>- Внутреннее состояние и работа со страхом переговоров 
- Чек-лист подготовки к важным переговорам
- Эффективные переговорные техники
- Чем отличаются переговоры по телефону, в чатах и в живую?
- Техники работы с возражениями клиентов 
- Техники повышения среднего чека и захода на следующую продажу
- Контроль качества переговоров продавцов
- Переговорные навыковые карты – как уникальный инструмент по формированию навыка эффективного ведения переговоров</v>
      </c>
    </row>
    <row r="365" spans="1:4" ht="38.25" x14ac:dyDescent="0.2">
      <c r="A365" s="1"/>
      <c r="B365" s="4"/>
      <c r="C365" s="4" t="str">
        <f ca="1">IFERROR(__xludf.DUMMYFUNCTION("""COMPUTED_VALUE"""),"Доски объявлений как дополнительный канал продаж своих товаров онлайн")</f>
        <v>Доски объявлений как дополнительный канал продаж своих товаров онлайн</v>
      </c>
      <c r="D365" s="1" t="str">
        <f ca="1">IFERROR(__xludf.DUMMYFUNCTION("""COMPUTED_VALUE"""),"- Российские доски объявлений которые знают все (avito, юла, tiu.ru)
- Доски объявлений для оптовых продаж (optlist.ru, napolke.ru)
- Быстрая регистрация, требования к товару и ассортименту
- Особенности продаж на досках объявлений, инструменты продвижени"&amp;"я 
- Какой контент продающий. Что такое семантическое ядро в объявлении 
- Платные тарифы и комиссии площадок для физ. и юр. лиц
- Успешные кейсы размещения")</f>
        <v>- Российские доски объявлений которые знают все (avito, юла, tiu.ru)
- Доски объявлений для оптовых продаж (optlist.ru, napolke.ru)
- Быстрая регистрация, требования к товару и ассортименту
- Особенности продаж на досках объявлений, инструменты продвижения 
- Какой контент продающий. Что такое семантическое ядро в объявлении 
- Платные тарифы и комиссии площадок для физ. и юр. лиц
- Успешные кейсы размещения</v>
      </c>
    </row>
    <row r="366" spans="1:4" ht="25.5" x14ac:dyDescent="0.2">
      <c r="A366" s="1"/>
      <c r="B366" s="4"/>
      <c r="C366" s="4" t="str">
        <f ca="1">IFERROR(__xludf.DUMMYFUNCTION("""COMPUTED_VALUE"""),"Тренд 2021 – продажи на маркетплейсах ")</f>
        <v xml:space="preserve">Тренд 2021 – продажи на маркетплейсах </v>
      </c>
      <c r="D366" s="1" t="str">
        <f ca="1">IFERROR(__xludf.DUMMYFUNCTION("""COMPUTED_VALUE"""),"- Что такое маркетплейс? Омниканальная онлайн витрина
- Тренды и возможности продажи товаров на маркетплейсах
- Запуск продаж на маркетплейсах – разбор ключевых процессов
- Маркетплейсы для начинающих и действующих предпринимателей. Мощный старт или усиле"&amp;"ние существующего направления
- Типы маркетплейсов для заработка. Где купят ваши товары и услуги в 2021? 
- Создание продающей стратегии для товара – 10 практических кейсов 
- Свой товарный бренд – от выбора товара до упаковки")</f>
        <v>- Что такое маркетплейс? Омниканальная онлайн витрина
- Тренды и возможности продажи товаров на маркетплейсах
- Запуск продаж на маркетплейсах – разбор ключевых процессов
- Маркетплейсы для начинающих и действующих предпринимателей. Мощный старт или усиление существующего направления
- Типы маркетплейсов для заработка. Где купят ваши товары и услуги в 2021? 
- Создание продающей стратегии для товара – 10 практических кейсов 
- Свой товарный бренд – от выбора товара до упаковки</v>
      </c>
    </row>
    <row r="367" spans="1:4" ht="25.5" x14ac:dyDescent="0.2">
      <c r="A367" s="1"/>
      <c r="B367" s="4"/>
      <c r="C367" s="4" t="str">
        <f ca="1">IFERROR(__xludf.DUMMYFUNCTION("""COMPUTED_VALUE"""),"Встреча 1. Мини-группа с трекером")</f>
        <v>Встреча 1. Мини-группа с трекером</v>
      </c>
      <c r="D367" s="1" t="str">
        <f ca="1">IFERROR(__xludf.DUMMYFUNCTION("""COMPUTED_VALUE"""),"Работа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")</f>
        <v xml:space="preserve">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</v>
      </c>
    </row>
    <row r="368" spans="1:4" ht="25.5" x14ac:dyDescent="0.2">
      <c r="A368" s="1"/>
      <c r="B368" s="4"/>
      <c r="C368" s="4" t="str">
        <f ca="1">IFERROR(__xludf.DUMMYFUNCTION("""COMPUTED_VALUE"""),"Встреча 2. Мини-группа с трекером")</f>
        <v>Встреча 2. Мини-группа с трекером</v>
      </c>
      <c r="D368" s="1" t="str">
        <f ca="1">IFERROR(__xludf.DUMMYFUNCTION("""COMPUTED_VALUE"""),"Работа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")</f>
        <v xml:space="preserve">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</v>
      </c>
    </row>
    <row r="369" spans="1:4" ht="25.5" x14ac:dyDescent="0.2">
      <c r="A369" s="1"/>
      <c r="B369" s="4"/>
      <c r="C369" s="4" t="str">
        <f ca="1">IFERROR(__xludf.DUMMYFUNCTION("""COMPUTED_VALUE"""),"Встреча 3. Мини-группа с трекером")</f>
        <v>Встреча 3. Мини-группа с трекером</v>
      </c>
      <c r="D369" s="1" t="str">
        <f ca="1">IFERROR(__xludf.DUMMYFUNCTION("""COMPUTED_VALUE"""),"Работа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")</f>
        <v xml:space="preserve">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</v>
      </c>
    </row>
    <row r="370" spans="1:4" ht="25.5" x14ac:dyDescent="0.2">
      <c r="A370" s="1"/>
      <c r="B370" s="4"/>
      <c r="C370" s="4" t="str">
        <f ca="1">IFERROR(__xludf.DUMMYFUNCTION("""COMPUTED_VALUE"""),"Встреча 4. Мини-группа с трекером")</f>
        <v>Встреча 4. Мини-группа с трекером</v>
      </c>
      <c r="D370" s="1" t="str">
        <f ca="1">IFERROR(__xludf.DUMMYFUNCTION("""COMPUTED_VALUE"""),"Работа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")</f>
        <v xml:space="preserve">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</v>
      </c>
    </row>
    <row r="371" spans="1:4" ht="25.5" x14ac:dyDescent="0.2">
      <c r="A371" s="1"/>
      <c r="B371" s="4"/>
      <c r="C371" s="4" t="str">
        <f ca="1">IFERROR(__xludf.DUMMYFUNCTION("""COMPUTED_VALUE"""),"Встреча 5. Мини-группа с трекером")</f>
        <v>Встреча 5. Мини-группа с трекером</v>
      </c>
      <c r="D371" s="1" t="str">
        <f ca="1">IFERROR(__xludf.DUMMYFUNCTION("""COMPUTED_VALUE"""),"Работа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")</f>
        <v xml:space="preserve">Работа в мини-группах:
Группа 1. Начинающий уровень «Запуск продаж на маркетплейсах»
Группа 2. Средний уровень «Стратегия продвижения»
Группа 3. Продвинутый уровень «Увеличение продаж»
</v>
      </c>
    </row>
    <row r="372" spans="1:4" ht="12.75" x14ac:dyDescent="0.2">
      <c r="A372" s="1"/>
      <c r="B372" s="4"/>
      <c r="C372" s="4" t="str">
        <f ca="1">IFERROR(__xludf.DUMMYFUNCTION("""COMPUTED_VALUE"""),"От поставки до продажи")</f>
        <v>От поставки до продажи</v>
      </c>
      <c r="D372" s="1" t="str">
        <f ca="1">IFERROR(__xludf.DUMMYFUNCTION("""COMPUTED_VALUE"""),"- Как найти поставщика в Китае
- Как проверить товар на соответствие удаленно
- Особенности международной логистики
- Методы поиска покупателей в онлайне 
- Создание товарного бренда от закупки до продажи в России
- Кейсы от покупки до продажи на конкретн"&amp;"ой российской площадке
- Работа с поставщиками (Китай- Alibaba+ посредники, Россия)
- Китай: как осуществляется закупка
- На каких площадках искать товар в Китае и как его продать в России
- Разбор реальных примеров")</f>
        <v>- Как найти поставщика в Китае
- Как проверить товар на соответствие удаленно
- Особенности международной логистики
- Методы поиска покупателей в онлайне 
- Создание товарного бренда от закупки до продажи в России
- Кейсы от покупки до продажи на конкретной российской площадке
- Работа с поставщиками (Китай- Alibaba+ посредники, Россия)
- Китай: как осуществляется закупка
- На каких площадках искать товар в Китае и как его продать в России
- Разбор реальных примеров</v>
      </c>
    </row>
    <row r="373" spans="1:4" ht="51" x14ac:dyDescent="0.2">
      <c r="A373" s="1"/>
      <c r="B373" s="4"/>
      <c r="C373" s="4" t="str">
        <f ca="1">IFERROR(__xludf.DUMMYFUNCTION("""COMPUTED_VALUE"""),"Продажи на иностранных маркетплейсах Amazon, Ebay.  Онлайн-торговля для handmade бизнеса: Etsy ")</f>
        <v xml:space="preserve">Продажи на иностранных маркетплейсах Amazon, Ebay.  Онлайн-торговля для handmade бизнеса: Etsy </v>
      </c>
      <c r="D373" s="1" t="str">
        <f ca="1">IFERROR(__xludf.DUMMYFUNCTION("""COMPUTED_VALUE"""),"- Общее понятие маркетплейсов. Тренды развития e-commerce. Ведение торговли из России
- Гайд по крупнейшим американским маркетплейсам: Amazon и Ebay
- Форматы торговли: droppshipping, online arbitrage, private label
- Бизнес на handmade – миф или реальнос"&amp;"ть?
- Тренды handmade на иностранном и российском рынке. Специфика потребительской аудитории handmade
- Гайд по крупнейшему handmade маркетплейсу: Etsy")</f>
        <v>- Общее понятие маркетплейсов. Тренды развития e-commerce. Ведение торговли из России
- Гайд по крупнейшим американским маркетплейсам: Amazon и Ebay
- Форматы торговли: droppshipping, online arbitrage, private label
- Бизнес на handmade – миф или реальность?
- Тренды handmade на иностранном и российском рынке. Специфика потребительской аудитории handmade
- Гайд по крупнейшему handmade маркетплейсу: Etsy</v>
      </c>
    </row>
    <row r="374" spans="1:4" ht="38.25" x14ac:dyDescent="0.2">
      <c r="A374" s="1"/>
      <c r="B374" s="4"/>
      <c r="C374" s="4" t="str">
        <f ca="1">IFERROR(__xludf.DUMMYFUNCTION("""COMPUTED_VALUE"""),"Продажи на российских маркетплейсах: Wildberries , Lamoda, Ozon, Beru, Livemaster")</f>
        <v>Продажи на российских маркетплейсах: Wildberries , Lamoda, Ozon, Beru, Livemaster</v>
      </c>
      <c r="D374" s="1" t="str">
        <f ca="1">IFERROR(__xludf.DUMMYFUNCTION("""COMPUTED_VALUE"""),"- Российские маркетплейсы. Тренды. Масштаб
- Гайд по крупнейшим российским маркетплейсам Wildberries, Lamoda, Ozon, Beru, Livemaster
- Особенности каждого маркетплейса
- Категории товаров на платформах
- Особенности регистрации на платформах. Требования к"&amp;" партнеру
- Выстраиваем логистику ")</f>
        <v xml:space="preserve">- Российские маркетплейсы. Тренды. Масштаб
- Гайд по крупнейшим российским маркетплейсам Wildberries, Lamoda, Ozon, Beru, Livemaster
- Особенности каждого маркетплейса
- Категории товаров на платформах
- Особенности регистрации на платформах. Требования к партнеру
- Выстраиваем логистику </v>
      </c>
    </row>
    <row r="375" spans="1:4" ht="25.5" x14ac:dyDescent="0.2">
      <c r="A375" s="1"/>
      <c r="B375" s="4"/>
      <c r="C375" s="4" t="str">
        <f ca="1">IFERROR(__xludf.DUMMYFUNCTION("""COMPUTED_VALUE"""),"Защита дорожной карты. Маркетплейсы")</f>
        <v>Защита дорожной карты. Маркетплейсы</v>
      </c>
      <c r="D375" s="1" t="str">
        <f ca="1">IFERROR(__xludf.DUMMYFUNCTION("""COMPUTED_VALUE"""),"Эксперты оценивают выступления участников по следующим критериям: 
- выбран товар 
- проведен анализ конкурентов
- выбраны 3 торговые площадки
- создано позиционирование товара
- создана карта продвижения на 3-х торговых площадках")</f>
        <v>Эксперты оценивают выступления участников по следующим критериям: 
- выбран товар 
- проведен анализ конкурентов
- выбраны 3 торговые площадки
- создано позиционирование товара
- создана карта продвижения на 3-х торговых площадках</v>
      </c>
    </row>
    <row r="376" spans="1:4" ht="38.25" x14ac:dyDescent="0.2">
      <c r="A376" s="1"/>
      <c r="B376" s="4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76" s="4" t="str">
        <f ca="1">IFERROR(__xludf.DUMMYFUNCTION("""COMPUTED_VALUE"""),"Установочная сессия с участниками (zoom)")</f>
        <v>Установочная сессия с участниками (zoom)</v>
      </c>
      <c r="D376" s="1" t="str">
        <f ca="1">IFERROR(__xludf.DUMMYFUNCTION("""COMPUTED_VALUE"""),"- Приветственное слово от региона
- Формат обучения (предакселератор, отбор, акселератор, получение грантов)
- Как пройти отбор в акселератор? Критерии оценивания (посещаемость, д/з, готовая идея проекта из приоритетных треков, регистрация как ИП или само"&amp;"занятый)
- Разделение участников по мини-группам, знакомство
")</f>
        <v xml:space="preserve">- Приветственное слово от региона
- Формат обучения (предакселератор, отбор, акселератор, получение грантов)
- Как пройти отбор в акселератор? Критерии оценивания (посещаемость, д/з, готовая идея проекта из приоритетных треков, регистрация как ИП или самозанятый)
- Разделение участников по мини-группам, знакомство
</v>
      </c>
    </row>
    <row r="377" spans="1:4" ht="38.25" x14ac:dyDescent="0.2">
      <c r="A377" s="1"/>
      <c r="B377" s="4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77" s="4" t="str">
        <f ca="1">IFERROR(__xludf.DUMMYFUNCTION("""COMPUTED_VALUE"""),"Занятие 1. «Тренды бизнеса в сфере туризма 2021» (менторская сессия)")</f>
        <v>Занятие 1. «Тренды бизнеса в сфере туризма 2021» (менторская сессия)</v>
      </c>
      <c r="D377" s="1" t="str">
        <f ca="1">IFERROR(__xludf.DUMMYFUNCTION("""COMPUTED_VALUE"""),"- Тренды индустрии туризма в сфере турагентств 
- Тренды индустрии туризма в сфере гостеприимства 
- Тренды индустрии туризма в сфере событийного бизнеса
Диалог и дискуссия экспертов на темы:
- 2021 год: как будет меняться внешний мир и какие риски стоит "&amp;"учитывать
- Как развивать бизнес и зарабатывать на внутреннем туризме
- Предпочтения туристов в выборе путешествий в 2021 году
")</f>
        <v xml:space="preserve">- Тренды индустрии туризма в сфере турагентств 
- Тренды индустрии туризма в сфере гостеприимства 
- Тренды индустрии туризма в сфере событийного бизнеса
Диалог и дискуссия экспертов на темы:
- 2021 год: как будет меняться внешний мир и какие риски стоит учитывать
- Как развивать бизнес и зарабатывать на внутреннем туризме
- Предпочтения туристов в выборе путешествий в 2021 году
</v>
      </c>
    </row>
    <row r="378" spans="1:4" ht="38.25" x14ac:dyDescent="0.2">
      <c r="A378" s="1"/>
      <c r="B378" s="4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78" s="4" t="str">
        <f ca="1">IFERROR(__xludf.DUMMYFUNCTION("""COMPUTED_VALUE"""),"Занятие 2. «Поиск бизнес-идеи и диверсификация туристического бизнеса»")</f>
        <v>Занятие 2. «Поиск бизнес-идеи и диверсификация туристического бизнеса»</v>
      </c>
      <c r="D378" s="1" t="str">
        <f ca="1">IFERROR(__xludf.DUMMYFUNCTION("""COMPUTED_VALUE"""),"- Генерация бизнес-идей в сфере туризма на основе трендов 2021
- Как определиться с идеей и тестировать гипотезы
- Диверсифицировать существующий бизнес или создавать новый?
- Типы стратегий диверсификации
")</f>
        <v xml:space="preserve">- Генерация бизнес-идей в сфере туризма на основе трендов 2021
- Как определиться с идеей и тестировать гипотезы
- Диверсифицировать существующий бизнес или создавать новый?
- Типы стратегий диверсификации
</v>
      </c>
    </row>
    <row r="379" spans="1:4" ht="38.25" x14ac:dyDescent="0.2">
      <c r="A379" s="1"/>
      <c r="B379" s="4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79" s="4" t="str">
        <f ca="1">IFERROR(__xludf.DUMMYFUNCTION("""COMPUTED_VALUE"""),"Занятие 3. «Путь проекта — от идеи к реализации»")</f>
        <v>Занятие 3. «Путь проекта — от идеи к реализации»</v>
      </c>
      <c r="D379" s="1" t="str">
        <f ca="1">IFERROR(__xludf.DUMMYFUNCTION("""COMPUTED_VALUE"""),"- Составляем путь проекта – 7 шагов от идеи к реализации
- Описание концепции проекта на основе идей
- Бизнес-модель и ее тестирование
- Гипотезы на рынке
- Составляем дорожную карту проекта по вехам")</f>
        <v>- Составляем путь проекта – 7 шагов от идеи к реализации
- Описание концепции проекта на основе идей
- Бизнес-модель и ее тестирование
- Гипотезы на рынке
- Составляем дорожную карту проекта по вехам</v>
      </c>
    </row>
    <row r="380" spans="1:4" ht="38.25" x14ac:dyDescent="0.2">
      <c r="A380" s="1"/>
      <c r="B380" s="4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80" s="4" t="str">
        <f ca="1">IFERROR(__xludf.DUMMYFUNCTION("""COMPUTED_VALUE"""),"Занятие 4. «Базовые навыки для презентации проекта»")</f>
        <v>Занятие 4. «Базовые навыки для презентации проекта»</v>
      </c>
      <c r="D380" s="1" t="str">
        <f ca="1">IFERROR(__xludf.DUMMYFUNCTION("""COMPUTED_VALUE"""),"- Обзор форматов и инструментов для презентации проекта
- Структура выступления 
- Как сделать так, чтобы презентация вашего проекта – запомнилась? 
- Отключаем страхи перед выступлением на камеру и аудиторию
")</f>
        <v xml:space="preserve">- Обзор форматов и инструментов для презентации проекта
- Структура выступления 
- Как сделать так, чтобы презентация вашего проекта – запомнилась? 
- Отключаем страхи перед выступлением на камеру и аудиторию
</v>
      </c>
    </row>
    <row r="381" spans="1:4" ht="38.25" x14ac:dyDescent="0.2">
      <c r="A381" s="1"/>
      <c r="B381" s="4" t="str">
        <f ca="1">IFERROR(__xludf.DUMMYFUNCTION("""COMPUTED_VALUE"""),"Туристический акселератор (Забайкалье)
Содержание предакселератора")</f>
        <v>Туристический акселератор (Забайкалье)
Содержание предакселератора</v>
      </c>
      <c r="C381" s="4" t="str">
        <f ca="1">IFERROR(__xludf.DUMMYFUNCTION("""COMPUTED_VALUE"""),"Занятие 5. «Отбор в акселератор»")</f>
        <v>Занятие 5. «Отбор в акселератор»</v>
      </c>
      <c r="D381" s="1" t="str">
        <f ca="1">IFERROR(__xludf.DUMMYFUNCTION("""COMPUTED_VALUE"""),"- Отбор участников
- Обратная связь
")</f>
        <v xml:space="preserve">- Отбор участников
- Обратная связь
</v>
      </c>
    </row>
    <row r="382" spans="1:4" ht="38.25" x14ac:dyDescent="0.2">
      <c r="A382" s="1"/>
      <c r="B382" s="4" t="str">
        <f ca="1">IFERROR(__xludf.DUMMYFUNCTION("""COMPUTED_VALUE"""),"Туристический акселератор (Забайкалье)")</f>
        <v>Туристический акселератор (Забайкалье)</v>
      </c>
      <c r="C382" s="4" t="str">
        <f ca="1">IFERROR(__xludf.DUMMYFUNCTION("""COMPUTED_VALUE"""),"Занятие 1. «Модель туристического бизнеса». Открытие акселератора")</f>
        <v>Занятие 1. «Модель туристического бизнеса». Открытие акселератора</v>
      </c>
      <c r="D382" s="1" t="str">
        <f ca="1">IFERROR(__xludf.DUMMYFUNCTION("""COMPUTED_VALUE"""),"- Техника рождения и описания бизнес-идей. «Убийцы идей»
- Технология моделирования бизнеса А. Остервальдера, которую используют СберБанк, Apple, Uber, Газпром, Илон Маск
- Моделирование идеи проекта по технологии 10 компонентов. Определите Продукт, Ценно"&amp;"сть, Аватары клиентов, Путь клиента, Каналы и форматы продаж, карту отношений с Партнерами и Поставщиками, Основной бизнес-процесс, Ресурсную карту проекта
- Откуда Доходы и куда Расходы. Прибыль есть? 
- UNO и рыночная стратегия для нового бизнеса или пр"&amp;"оекта развития предприятия
")</f>
        <v xml:space="preserve">- Техника рождения и описания бизнес-идей. «Убийцы идей»
- Технология моделирования бизнеса А. Остервальдера, которую используют СберБанк, Apple, Uber, Газпром, Илон Маск
- Моделирование идеи проекта по технологии 10 компонентов. Определите Продукт, Ценность, Аватары клиентов, Путь клиента, Каналы и форматы продаж, карту отношений с Партнерами и Поставщиками, Основной бизнес-процесс, Ресурсную карту проекта
- Откуда Доходы и куда Расходы. Прибыль есть? 
- UNO и рыночная стратегия для нового бизнеса или проекта развития предприятия
</v>
      </c>
    </row>
    <row r="383" spans="1:4" ht="38.25" x14ac:dyDescent="0.2">
      <c r="A383" s="1"/>
      <c r="B383" s="4" t="str">
        <f ca="1">IFERROR(__xludf.DUMMYFUNCTION("""COMPUTED_VALUE"""),"Туристический акселератор (Забайкалье)")</f>
        <v>Туристический акселератор (Забайкалье)</v>
      </c>
      <c r="C383" s="4" t="str">
        <f ca="1">IFERROR(__xludf.DUMMYFUNCTION("""COMPUTED_VALUE"""),"Занятие 2. «Развиваем бизнес-идею в сфере событийного бизнеса»")</f>
        <v>Занятие 2. «Развиваем бизнес-идею в сфере событийного бизнеса»</v>
      </c>
      <c r="D383" s="1" t="str">
        <f ca="1">IFERROR(__xludf.DUMMYFUNCTION("""COMPUTED_VALUE"""),"- Позиционирование: создание бренда туристического события
- Продвижение туристического события
- Домашнее задание")</f>
        <v>- Позиционирование: создание бренда туристического события
- Продвижение туристического события
- Домашнее задание</v>
      </c>
    </row>
    <row r="384" spans="1:4" ht="38.25" x14ac:dyDescent="0.2">
      <c r="A384" s="1"/>
      <c r="B384" s="4" t="str">
        <f ca="1">IFERROR(__xludf.DUMMYFUNCTION("""COMPUTED_VALUE"""),"Туристический акселератор (Забайкалье)")</f>
        <v>Туристический акселератор (Забайкалье)</v>
      </c>
      <c r="C384" s="4" t="str">
        <f ca="1">IFERROR(__xludf.DUMMYFUNCTION("""COMPUTED_VALUE"""),"Занятие 3. «Развиваем бизнес-идею в сфере гостиничного бизнеса»")</f>
        <v>Занятие 3. «Развиваем бизнес-идею в сфере гостиничного бизнеса»</v>
      </c>
      <c r="D384" s="1" t="str">
        <f ca="1">IFERROR(__xludf.DUMMYFUNCTION("""COMPUTED_VALUE"""),"- Дополнительный доход в отеле. Управление доходами, прогнозирование продаж отеля
- Инструменты продвижения отеля: онлайн и оффлайн. Позиционирование отеля, хостела и апартаментов
- Основные принципы ведения отельного бизнеса, понимание сервиса. Внутренни"&amp;"е и внешние клиенты
- Конкуренты. Отстройка позиционирования от конкурентов
- Скрипты и формы для сервиса и нативных дополнительных продаж")</f>
        <v>- Дополнительный доход в отеле. Управление доходами, прогнозирование продаж отеля
- Инструменты продвижения отеля: онлайн и оффлайн. Позиционирование отеля, хостела и апартаментов
- Основные принципы ведения отельного бизнеса, понимание сервиса. Внутренние и внешние клиенты
- Конкуренты. Отстройка позиционирования от конкурентов
- Скрипты и формы для сервиса и нативных дополнительных продаж</v>
      </c>
    </row>
    <row r="385" spans="1:4" ht="38.25" x14ac:dyDescent="0.2">
      <c r="A385" s="1"/>
      <c r="B385" s="4" t="str">
        <f ca="1">IFERROR(__xludf.DUMMYFUNCTION("""COMPUTED_VALUE"""),"Туристический акселератор (Забайкалье)")</f>
        <v>Туристический акселератор (Забайкалье)</v>
      </c>
      <c r="C385" s="4" t="str">
        <f ca="1">IFERROR(__xludf.DUMMYFUNCTION("""COMPUTED_VALUE"""),"Занятие 4. “Развиваем бизнес-идею в сфере турагентства и авторских туров”")</f>
        <v>Занятие 4. “Развиваем бизнес-идею в сфере турагентства и авторских туров”</v>
      </c>
      <c r="D385" s="1" t="str">
        <f ca="1">IFERROR(__xludf.DUMMYFUNCTION("""COMPUTED_VALUE"""),"- Как найти идею для проекта: выбор ниши и оценка спроса 
- Целевая аудитория: как выявить и как работать с вашей ЦА
- Анализ рынка: аналитика рынка, конкурентный анализ (оценка стратегии, сильные, слабые стороны) 
- Опрос экспертов отрасли и ЦА
- Разрабо"&amp;"тка тура: составление программы тура 
- План разработки тура, маршрут, поиск партнеров
- Маркетинг: соц. сети, сайт, реклама, разбор примеров различных методов маркетинга (основан на практике)")</f>
        <v>- Как найти идею для проекта: выбор ниши и оценка спроса 
- Целевая аудитория: как выявить и как работать с вашей ЦА
- Анализ рынка: аналитика рынка, конкурентный анализ (оценка стратегии, сильные, слабые стороны) 
- Опрос экспертов отрасли и ЦА
- Разработка тура: составление программы тура 
- План разработки тура, маршрут, поиск партнеров
- Маркетинг: соц. сети, сайт, реклама, разбор примеров различных методов маркетинга (основан на практике)</v>
      </c>
    </row>
    <row r="386" spans="1:4" ht="25.5" x14ac:dyDescent="0.2">
      <c r="A386" s="1"/>
      <c r="B386" s="4" t="str">
        <f ca="1">IFERROR(__xludf.DUMMYFUNCTION("""COMPUTED_VALUE"""),"Туристический акселератор (Забайкалье)")</f>
        <v>Туристический акселератор (Забайкалье)</v>
      </c>
      <c r="C386" s="4" t="str">
        <f ca="1">IFERROR(__xludf.DUMMYFUNCTION("""COMPUTED_VALUE"""),"Занятие 5. «Оценка проектов» ")</f>
        <v xml:space="preserve">Занятие 5. «Оценка проектов» </v>
      </c>
      <c r="D386" s="1" t="str">
        <f ca="1">IFERROR(__xludf.DUMMYFUNCTION("""COMPUTED_VALUE"""),"- Обзор имеющихся механизмов получения грантовой поддержки проектов
- Типовые ошибки при написании проекта/заявки
- Что «цепляет» экспертов?
- Как защищать проект перед инвестором
- Деловая игра «Защита перед экспертами»")</f>
        <v>- Обзор имеющихся механизмов получения грантовой поддержки проектов
- Типовые ошибки при написании проекта/заявки
- Что «цепляет» экспертов?
- Как защищать проект перед инвестором
- Деловая игра «Защита перед экспертами»</v>
      </c>
    </row>
    <row r="387" spans="1:4" ht="51" x14ac:dyDescent="0.2">
      <c r="A387" s="1"/>
      <c r="B387" s="4" t="str">
        <f ca="1">IFERROR(__xludf.DUMMYFUNCTION("""COMPUTED_VALUE"""),"Туристический акселератор (Забайкалье)")</f>
        <v>Туристический акселератор (Забайкалье)</v>
      </c>
      <c r="C387" s="4" t="str">
        <f ca="1">IFERROR(__xludf.DUMMYFUNCTION("""COMPUTED_VALUE"""),"Занятие 6. Как гарантированно привлечь клиентов для туристического бизнеса из Интернета в 2021")</f>
        <v>Занятие 6. Как гарантированно привлечь клиентов для туристического бизнеса из Интернета в 2021</v>
      </c>
      <c r="D387" s="1" t="str">
        <f ca="1">IFERROR(__xludf.DUMMYFUNCTION("""COMPUTED_VALUE"""),"- Как влияет кризис на маркетинг в туристической отрасли? 
- Какие 4 стратегии продвижения сработают в 2021, а какие методы лучше не использовать для туротрасли? 
- Что можно сейчас сделать бесплатно? Или с минимальными вложениями? 
- Есть ли смысл в плат"&amp;"ной рекламе? 
- Топ-10 инструментов продвижения и исследование Яндекса про туристическую отрасль
")</f>
        <v xml:space="preserve">- Как влияет кризис на маркетинг в туристической отрасли? 
- Какие 4 стратегии продвижения сработают в 2021, а какие методы лучше не использовать для туротрасли? 
- Что можно сейчас сделать бесплатно? Или с минимальными вложениями? 
- Есть ли смысл в платной рекламе? 
- Топ-10 инструментов продвижения и исследование Яндекса про туристическую отрасль
</v>
      </c>
    </row>
    <row r="388" spans="1:4" ht="38.25" x14ac:dyDescent="0.2">
      <c r="A388" s="1"/>
      <c r="B388" s="4" t="str">
        <f ca="1">IFERROR(__xludf.DUMMYFUNCTION("""COMPUTED_VALUE"""),"Туристический акселератор (Забайкалье)")</f>
        <v>Туристический акселератор (Забайкалье)</v>
      </c>
      <c r="C388" s="4" t="str">
        <f ca="1">IFERROR(__xludf.DUMMYFUNCTION("""COMPUTED_VALUE"""),"Занятие 7. Системный маркетинг. Как создать амбассадоров вашего бренда")</f>
        <v>Занятие 7. Системный маркетинг. Как создать амбассадоров вашего бренда</v>
      </c>
      <c r="D388" s="1" t="str">
        <f ca="1">IFERROR(__xludf.DUMMYFUNCTION("""COMPUTED_VALUE"""),"- Как перестать гоняться за новыми клиентами: ищете новых клиентов? А куда уходят ""старые""? Технологии сохранения клиентов
- Стоимость привлечения и удержания клиентов: UNIT-экономика в гостеприимстве. Дифференцированный подход к клиентской базе
- Техно"&amp;"логии позиционирования на рынке гостеприимства: уникальна ли ваша уникальность? Экономика впечатлений
")</f>
        <v xml:space="preserve">- Как перестать гоняться за новыми клиентами: ищете новых клиентов? А куда уходят "старые"? Технологии сохранения клиентов
- Стоимость привлечения и удержания клиентов: UNIT-экономика в гостеприимстве. Дифференцированный подход к клиентской базе
- Технологии позиционирования на рынке гостеприимства: уникальна ли ваша уникальность? Экономика впечатлений
</v>
      </c>
    </row>
    <row r="389" spans="1:4" ht="25.5" x14ac:dyDescent="0.2">
      <c r="A389" s="1"/>
      <c r="B389" s="4" t="str">
        <f ca="1">IFERROR(__xludf.DUMMYFUNCTION("""COMPUTED_VALUE"""),"Туристический акселератор (Забайкалье)")</f>
        <v>Туристический акселератор (Забайкалье)</v>
      </c>
      <c r="C389" s="4" t="str">
        <f ca="1">IFERROR(__xludf.DUMMYFUNCTION("""COMPUTED_VALUE"""),"Занятие 8. Создание презентации для Demo Day")</f>
        <v>Занятие 8. Создание презентации для Demo Day</v>
      </c>
      <c r="D389" s="1" t="str">
        <f ca="1">IFERROR(__xludf.DUMMYFUNCTION("""COMPUTED_VALUE"""),"- Инструменты структурирования контента: Работа с контентом. MindMap: как ее использовать для подстраховки во время выступления. Пирамида Минто: как построить убедительный рассказ
- Дизайн презентации для не дизайнеров: Лайфхаки быстрой верстки в Powerpoi"&amp;"nt. Типовые слайды и типичные ошибки. Ресурсы для поиска бесплатных иконок и изображений
")</f>
        <v xml:space="preserve">- Инструменты структурирования контента: Работа с контентом. MindMap: как ее использовать для подстраховки во время выступления. Пирамида Минто: как построить убедительный рассказ
- Дизайн презентации для не дизайнеров: Лайфхаки быстрой верстки в Powerpoint. Типовые слайды и типичные ошибки. Ресурсы для поиска бесплатных иконок и изображений
</v>
      </c>
    </row>
    <row r="390" spans="1:4" ht="25.5" x14ac:dyDescent="0.2">
      <c r="A390" s="1"/>
      <c r="B390" s="4" t="str">
        <f ca="1">IFERROR(__xludf.DUMMYFUNCTION("""COMPUTED_VALUE"""),"Туристический акселератор (Забайкалье)")</f>
        <v>Туристический акселератор (Забайкалье)</v>
      </c>
      <c r="C390" s="4" t="str">
        <f ca="1">IFERROR(__xludf.DUMMYFUNCTION("""COMPUTED_VALUE"""),"Demo Day")</f>
        <v>Demo Day</v>
      </c>
      <c r="D390" s="1" t="str">
        <f ca="1">IFERROR(__xludf.DUMMYFUNCTION("""COMPUTED_VALUE"""),"Выступление участников перед экспертной комиссией")</f>
        <v>Выступление участников перед экспертной комиссией</v>
      </c>
    </row>
    <row r="391" spans="1:4" ht="25.5" x14ac:dyDescent="0.2">
      <c r="A391" s="1"/>
      <c r="B391" s="4"/>
      <c r="C391" s="4" t="str">
        <f ca="1">IFERROR(__xludf.DUMMYFUNCTION("""COMPUTED_VALUE"""),"Встреча 1. Мини-группа с трекером")</f>
        <v>Встреча 1. Мини-группа с трекером</v>
      </c>
      <c r="D391" s="1"/>
    </row>
    <row r="392" spans="1:4" ht="25.5" x14ac:dyDescent="0.2">
      <c r="A392" s="1"/>
      <c r="B392" s="4"/>
      <c r="C392" s="4" t="str">
        <f ca="1">IFERROR(__xludf.DUMMYFUNCTION("""COMPUTED_VALUE"""),"Встреча 2. Мини-группа с трекером")</f>
        <v>Встреча 2. Мини-группа с трекером</v>
      </c>
      <c r="D392" s="1"/>
    </row>
    <row r="393" spans="1:4" ht="25.5" x14ac:dyDescent="0.2">
      <c r="A393" s="1"/>
      <c r="B393" s="4"/>
      <c r="C393" s="4" t="str">
        <f ca="1">IFERROR(__xludf.DUMMYFUNCTION("""COMPUTED_VALUE"""),"Встреча 3. Мини-группа с трекером")</f>
        <v>Встреча 3. Мини-группа с трекером</v>
      </c>
      <c r="D393" s="1"/>
    </row>
    <row r="394" spans="1:4" ht="25.5" x14ac:dyDescent="0.2">
      <c r="A394" s="1"/>
      <c r="B394" s="4"/>
      <c r="C394" s="4" t="str">
        <f ca="1">IFERROR(__xludf.DUMMYFUNCTION("""COMPUTED_VALUE"""),"Встреча 4. Мини-группа с трекером")</f>
        <v>Встреча 4. Мини-группа с трекером</v>
      </c>
      <c r="D394" s="1"/>
    </row>
    <row r="395" spans="1:4" ht="25.5" x14ac:dyDescent="0.2">
      <c r="A395" s="1"/>
      <c r="B395" s="4"/>
      <c r="C395" s="4" t="str">
        <f ca="1">IFERROR(__xludf.DUMMYFUNCTION("""COMPUTED_VALUE"""),"Продажи на маркетплейсах. Защита дорожной карты")</f>
        <v>Продажи на маркетплейсах. Защита дорожной карты</v>
      </c>
      <c r="D395" s="1" t="str">
        <f ca="1">IFERROR(__xludf.DUMMYFUNCTION("""COMPUTED_VALUE"""),"- Подведение итогов Программы
- Защита дорожной карты участников")</f>
        <v>- Подведение итогов Программы
- Защита дорожной карты участников</v>
      </c>
    </row>
    <row r="396" spans="1:4" ht="12.75" x14ac:dyDescent="0.2">
      <c r="A396" s="1"/>
      <c r="B396" s="4" t="str">
        <f ca="1">IFERROR(__xludf.DUMMYFUNCTION("""COMPUTED_VALUE"""),"спец программа")</f>
        <v>спец программа</v>
      </c>
      <c r="C396" s="4" t="str">
        <f ca="1">IFERROR(__xludf.DUMMYFUNCTION("""COMPUTED_VALUE"""),"Как создать авторский тур")</f>
        <v>Как создать авторский тур</v>
      </c>
      <c r="D396" s="1" t="str">
        <f ca="1">IFERROR(__xludf.DUMMYFUNCTION("""COMPUTED_VALUE"""),"Программа:
- Как найти идею для проекта: выбор ниши и оценка спроса 
- Целевая аудитория: как выявить и как работать с вашей ЦА
- Анализ рынка: аналитика рынка, конкурентный анализ (оценка стратегии, сильные, слабые стороны) 
- Опрос экспертов отрасли и Ц"&amp;"А
- Разработка тура: составление программы тура 
- План разработки тура, маршрут, поиск партнеров
- Маркетинг: соц сети, сайт, реклама, разбор примеров различных методов маркетинга (основан на практике)
Инструменты взаимодействия в рамках тренинга: 
- во"&amp;"просы участникам тренинга, на своём примере спикер отвечает и рассказывают на что обратить особое внимание
- разбор примеров участников тренинга
- разработка своих идей участниками тренинга
Чему научится участник:
- в результате тренинга участники смогут"&amp;" выбрать нишу для своего авторского тура и проанализируют рынок и разработают маршрут
Домашнее задание:
- заполнить сводную таблицу по результатам анализа, каждый разбирает свою идею
- провести опросы и заполнить таблицу по результатам всех опросов, прик"&amp;"репить скрины опросов в соц.сетях 
- по примеру составить свой маршрут")</f>
        <v>Программа:
- Как найти идею для проекта: выбор ниши и оценка спроса 
- Целевая аудитория: как выявить и как работать с вашей ЦА
- Анализ рынка: аналитика рынка, конкурентный анализ (оценка стратегии, сильные, слабые стороны) 
- Опрос экспертов отрасли и ЦА
- Разработка тура: составление программы тура 
- План разработки тура, маршрут, поиск партнеров
- Маркетинг: соц сети, сайт, реклама, разбор примеров различных методов маркетинга (основан на практике)
Инструменты взаимодействия в рамках тренинга: 
- вопросы участникам тренинга, на своём примере спикер отвечает и рассказывают на что обратить особое внимание
- разбор примеров участников тренинга
- разработка своих идей участниками тренинга
Чему научится участник:
- в результате тренинга участники смогут выбрать нишу для своего авторского тура и проанализируют рынок и разработают маршрут
Домашнее задание:
- заполнить сводную таблицу по результатам анализа, каждый разбирает свою идею
- провести опросы и заполнить таблицу по результатам всех опросов, прикрепить скрины опросов в соц.сетях 
- по примеру составить свой маршрут</v>
      </c>
    </row>
    <row r="397" spans="1:4" ht="12.75" x14ac:dyDescent="0.2">
      <c r="A397" s="1"/>
      <c r="B397" s="4" t="str">
        <f ca="1">IFERROR(__xludf.DUMMYFUNCTION("""COMPUTED_VALUE"""),"спец программа")</f>
        <v>спец программа</v>
      </c>
      <c r="C397" s="4" t="str">
        <f ca="1">IFERROR(__xludf.DUMMYFUNCTION("""COMPUTED_VALUE"""),"Как создать прибыльный отель")</f>
        <v>Как создать прибыльный отель</v>
      </c>
      <c r="D397" s="1" t="str">
        <f ca="1">IFERROR(__xludf.DUMMYFUNCTION("""COMPUTED_VALUE"""),"Программа:
- Дополнительный доход в отеле. Управление доходами, прогнозирование продаж отеля
- Основные принципы ведения отельного бизнеса, понимание сервиса. Внутренние и внешние клиенты
- Скрипты и формы для сервиса и нативных дополнительных продаж
Инс"&amp;"трументы взаимодействия в рамках тренинга: 
- кейсы для увеличения дохода своего отеля/хостела/апартаментов 
- ответы на вопросы от участников 
Чему научится участник:
- скриптам и продающим техникам
- управлению дохода в отеле
Домашнее задание: 
- сдел"&amp;"ать по примеру свою личную памятку-док «аватар клиента» ")</f>
        <v xml:space="preserve">Программа:
- Дополнительный доход в отеле. Управление доходами, прогнозирование продаж отеля
- Основные принципы ведения отельного бизнеса, понимание сервиса. Внутренние и внешние клиенты
- Скрипты и формы для сервиса и нативных дополнительных продаж
Инструменты взаимодействия в рамках тренинга: 
- кейсы для увеличения дохода своего отеля/хостела/апартаментов 
- ответы на вопросы от участников 
Чему научится участник:
- скриптам и продающим техникам
- управлению дохода в отеле
Домашнее задание: 
- сделать по примеру свою личную памятку-док «аватар клиента» </v>
      </c>
    </row>
    <row r="398" spans="1:4" ht="12.75" x14ac:dyDescent="0.2">
      <c r="A398" s="1"/>
      <c r="B398" s="4"/>
      <c r="C398" s="4"/>
      <c r="D398" s="1"/>
    </row>
    <row r="399" spans="1:4" ht="25.5" x14ac:dyDescent="0.2">
      <c r="A399" s="1"/>
      <c r="B399" s="4"/>
      <c r="C399" s="4" t="str">
        <f ca="1">IFERROR(__xludf.DUMMYFUNCTION("""COMPUTED_VALUE"""),"Создание прибыльной стратегии и конкретный план реализации")</f>
        <v>Создание прибыльной стратегии и конкретный план реализации</v>
      </c>
      <c r="D399" s="1" t="str">
        <f ca="1">IFERROR(__xludf.DUMMYFUNCTION("""COMPUTED_VALUE"""),"-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бизне"&amp;"са на 10 лет вперед")</f>
        <v>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бизнеса на 10 лет вперед</v>
      </c>
    </row>
    <row r="400" spans="1:4" ht="25.5" x14ac:dyDescent="0.2">
      <c r="A400" s="1"/>
      <c r="B400" s="4" t="str">
        <f ca="1">IFERROR(__xludf.DUMMYFUNCTION("""COMPUTED_VALUE"""),"Визуальные материалы в бизнесе")</f>
        <v>Визуальные материалы в бизнесе</v>
      </c>
      <c r="C400" s="4" t="str">
        <f ca="1">IFERROR(__xludf.DUMMYFUNCTION("""COMPUTED_VALUE"""),"Цифровая визуальная коммуникация")</f>
        <v>Цифровая визуальная коммуникация</v>
      </c>
      <c r="D400" s="1" t="str">
        <f ca="1">IFERROR(__xludf.DUMMYFUNCTION("""COMPUTED_VALUE"""),"- Каналы и особенности коммуникации с целевой аудиторией
- Какие визуальные материалы использует бизнес
- Как изменилась визуальная коммуникация в период трансформации бизнесов 
- Бренд компании и как его правильно транслировать")</f>
        <v>- Каналы и особенности коммуникации с целевой аудиторией
- Какие визуальные материалы использует бизнес
- Как изменилась визуальная коммуникация в период трансформации бизнесов 
- Бренд компании и как его правильно транслировать</v>
      </c>
    </row>
    <row r="401" spans="1:4" ht="25.5" x14ac:dyDescent="0.2">
      <c r="A401" s="1"/>
      <c r="B401" s="4" t="str">
        <f ca="1">IFERROR(__xludf.DUMMYFUNCTION("""COMPUTED_VALUE"""),"Визуальные материалы в бизнесе")</f>
        <v>Визуальные материалы в бизнесе</v>
      </c>
      <c r="C401" s="4" t="str">
        <f ca="1">IFERROR(__xludf.DUMMYFUNCTION("""COMPUTED_VALUE"""),"Визуальные материалы и имидж компании")</f>
        <v>Визуальные материалы и имидж компании</v>
      </c>
      <c r="D401" s="1" t="str">
        <f ca="1">IFERROR(__xludf.DUMMYFUNCTION("""COMPUTED_VALUE"""),"- Фирменный стиль и его влияние на стоимость компании и ваших услуг
- Логотип и бренд-бук компании как долгосрочная стратегия развития
- Шрифтовая, цветовая схема как способ отстройки от конкурентов и продвижения компании на рынке
- Фирменная графика и фо"&amp;"тоизображения
- Правила кобрендинга
- Ребрендинг и для чего он нужен")</f>
        <v>- Фирменный стиль и его влияние на стоимость компании и ваших услуг
- Логотип и бренд-бук компании как долгосрочная стратегия развития
- Шрифтовая, цветовая схема как способ отстройки от конкурентов и продвижения компании на рынке
- Фирменная графика и фотоизображения
- Правила кобрендинга
- Ребрендинг и для чего он нужен</v>
      </c>
    </row>
    <row r="402" spans="1:4" ht="25.5" x14ac:dyDescent="0.2">
      <c r="A402" s="1"/>
      <c r="B402" s="4" t="str">
        <f ca="1">IFERROR(__xludf.DUMMYFUNCTION("""COMPUTED_VALUE"""),"Визуальные материалы в бизнесе")</f>
        <v>Визуальные материалы в бизнесе</v>
      </c>
      <c r="C402" s="4" t="str">
        <f ca="1">IFERROR(__xludf.DUMMYFUNCTION("""COMPUTED_VALUE"""),"Ключевые правила продающей бизнес-визуализации")</f>
        <v>Ключевые правила продающей бизнес-визуализации</v>
      </c>
      <c r="D402" s="1" t="str">
        <f ca="1">IFERROR(__xludf.DUMMYFUNCTION("""COMPUTED_VALUE"""),"- Что главное в визуальных материалах для бизнеса?
- Отличия разных инструментов для достижения бизнес-целей
- Формат визуальных коммуникаций для разных площадок
- Структура визуальной коммуникации
- Учет особенностей онлайн-коммуникаций
- Чек-листы / пам"&amp;"ятки / руководства к действию / скрипты / медиа-кит посты в социальных сетях / презентации для выступлений 
- Особенности правильного представления информации
- Учет особенностей целевой аудитории
- Правильное ТЗ для дизайнера")</f>
        <v>- Что главное в визуальных материалах для бизнеса?
- Отличия разных инструментов для достижения бизнес-целей
- Формат визуальных коммуникаций для разных площадок
- Структура визуальной коммуникации
- Учет особенностей онлайн-коммуникаций
- Чек-листы / памятки / руководства к действию / скрипты / медиа-кит посты в социальных сетях / презентации для выступлений 
- Особенности правильного представления информации
- Учет особенностей целевой аудитории
- Правильное ТЗ для дизайнера</v>
      </c>
    </row>
    <row r="403" spans="1:4" ht="25.5" x14ac:dyDescent="0.2">
      <c r="A403" s="1"/>
      <c r="B403" s="4" t="str">
        <f ca="1">IFERROR(__xludf.DUMMYFUNCTION("""COMPUTED_VALUE"""),"Визуальные материалы в бизнесе")</f>
        <v>Визуальные материалы в бизнесе</v>
      </c>
      <c r="C403" s="4" t="str">
        <f ca="1">IFERROR(__xludf.DUMMYFUNCTION("""COMPUTED_VALUE"""),"Визуальные коммуникации в социальных сетях")</f>
        <v>Визуальные коммуникации в социальных сетях</v>
      </c>
      <c r="D403" s="1" t="str">
        <f ca="1">IFERROR(__xludf.DUMMYFUNCTION("""COMPUTED_VALUE"""),"- Продвижение в соц.сетях: стратегия, контент, вовлечение и клиенты
- Обзор всех соц.сетей
- Как узнать стратегию своих конкурентов
- Ведение: план, фото, видео
- Как делать сторис
- Как вести эфиры
- Реклама и продвижение")</f>
        <v>- Продвижение в соц.сетях: стратегия, контент, вовлечение и клиенты
- Обзор всех соц.сетей
- Как узнать стратегию своих конкурентов
- Ведение: план, фото, видео
- Как делать сторис
- Как вести эфиры
- Реклама и продвижение</v>
      </c>
    </row>
    <row r="404" spans="1:4" ht="38.25" x14ac:dyDescent="0.2">
      <c r="A404" s="1"/>
      <c r="B404" s="4" t="str">
        <f ca="1">IFERROR(__xludf.DUMMYFUNCTION("""COMPUTED_VALUE"""),"Визуальные материалы в бизнесе")</f>
        <v>Визуальные материалы в бизнесе</v>
      </c>
      <c r="C404" s="4" t="str">
        <f ca="1">IFERROR(__xludf.DUMMYFUNCTION("""COMPUTED_VALUE"""),"Продающее коммерческое предложение в формате презентации")</f>
        <v>Продающее коммерческое предложение в формате презентации</v>
      </c>
      <c r="D404" s="1" t="str">
        <f ca="1">IFERROR(__xludf.DUMMYFUNCTION("""COMPUTED_VALUE"""),"- Как в 5 раз увеличить вашу прибыль с помощью продающего коммерческого предложения?
- Структура КП: обязательные элементы КП
- О чем и как писать: снимаем сомнения, возражения, недоверие, через правильную подачу информации
- Единый стиль оформления КП: П"&amp;"ринципы визуального оформления
- Лайфхаки при оформлении КП")</f>
        <v>- Как в 5 раз увеличить вашу прибыль с помощью продающего коммерческого предложения?
- Структура КП: обязательные элементы КП
- О чем и как писать: снимаем сомнения, возражения, недоверие, через правильную подачу информации
- Единый стиль оформления КП: Принципы визуального оформления
- Лайфхаки при оформлении КП</v>
      </c>
    </row>
    <row r="405" spans="1:4" ht="38.25" x14ac:dyDescent="0.2">
      <c r="A405" s="1"/>
      <c r="B405" s="4" t="str">
        <f ca="1">IFERROR(__xludf.DUMMYFUNCTION("""COMPUTED_VALUE"""),"Визуальные материалы в бизнесе")</f>
        <v>Визуальные материалы в бизнесе</v>
      </c>
      <c r="C405" s="4" t="str">
        <f ca="1">IFERROR(__xludf.DUMMYFUNCTION("""COMPUTED_VALUE"""),"Видео-визуализация в бизнесе, видео-контент, ведение YouTube-канала")</f>
        <v>Видео-визуализация в бизнесе, видео-контент, ведение YouTube-канала</v>
      </c>
      <c r="D405" s="1" t="str">
        <f ca="1">IFERROR(__xludf.DUMMYFUNCTION("""COMPUTED_VALUE"""),"- Типы видео-контента
- Для чего нужен видео-контент
- Целесообразность видео-визуализации
- Видео-контент от съемки до продвижения
- Светлая и темная сторона
- Правила создания видео-контента
- Основные ошибки и советы по созданию видео")</f>
        <v>- Типы видео-контента
- Для чего нужен видео-контент
- Целесообразность видео-визуализации
- Видео-контент от съемки до продвижения
- Светлая и темная сторона
- Правила создания видео-контента
- Основные ошибки и советы по созданию видео</v>
      </c>
    </row>
    <row r="406" spans="1:4" ht="25.5" x14ac:dyDescent="0.2">
      <c r="A406" s="1"/>
      <c r="B406" s="4" t="str">
        <f ca="1">IFERROR(__xludf.DUMMYFUNCTION("""COMPUTED_VALUE"""),"Визуальные материалы в бизнесе")</f>
        <v>Визуальные материалы в бизнесе</v>
      </c>
      <c r="C406" s="4" t="str">
        <f ca="1">IFERROR(__xludf.DUMMYFUNCTION("""COMPUTED_VALUE"""),"Презентация как особый вид продажи")</f>
        <v>Презентация как особый вид продажи</v>
      </c>
      <c r="D406" s="1" t="str">
        <f ca="1">IFERROR(__xludf.DUMMYFUNCTION("""COMPUTED_VALUE"""),"- Подготовка к презентации
- Структура и содержание презентации
- Визуальное сопровождение презентации и раздаточные материалы
- Проведение презентации
- Навыки публичных выступлений
- Работа со сложными вопросами и ""вредными"" клиентами
- Инструменты со"&amp;"здания презентации
- Завершение презентации")</f>
        <v>- Подготовка к презентации
- Структура и содержание презентации
- Визуальное сопровождение презентации и раздаточные материалы
- Проведение презентации
- Навыки публичных выступлений
- Работа со сложными вопросами и "вредными" клиентами
- Инструменты создания презентации
- Завершение презентации</v>
      </c>
    </row>
    <row r="407" spans="1:4" ht="38.25" x14ac:dyDescent="0.2">
      <c r="A407" s="1"/>
      <c r="B407" s="4" t="str">
        <f ca="1">IFERROR(__xludf.DUMMYFUNCTION("""COMPUTED_VALUE"""),"Визуальные материалы в бизнесе")</f>
        <v>Визуальные материалы в бизнесе</v>
      </c>
      <c r="C407" s="4" t="str">
        <f ca="1">IFERROR(__xludf.DUMMYFUNCTION("""COMPUTED_VALUE"""),"Сайт, как один из ключевых элементов современной коммуникации в бизнесе")</f>
        <v>Сайт, как один из ключевых элементов современной коммуникации в бизнесе</v>
      </c>
      <c r="D407" s="1" t="str">
        <f ca="1">IFERROR(__xludf.DUMMYFUNCTION("""COMPUTED_VALUE"""),"- Визуальный контент для сайта
- Структура сайта и его визуальное наполнение
- Отстройка от конкурентов
- Выявление потребностей целевой аудитории и способы формулирования УТП
- Путь посетителя на сайте
- Конструкторы сайтов
- Специализированные сервисы
-"&amp;" Дизайн-сайта
- Инфографика и визуализация бизнес-процессов")</f>
        <v>- Визуальный контент для сайта
- Структура сайта и его визуальное наполнение
- Отстройка от конкурентов
- Выявление потребностей целевой аудитории и способы формулирования УТП
- Путь посетителя на сайте
- Конструкторы сайтов
- Специализированные сервисы
- Дизайн-сайта
- Инфографика и визуализация бизнес-процессов</v>
      </c>
    </row>
    <row r="408" spans="1:4" ht="38.25" x14ac:dyDescent="0.2">
      <c r="A408" s="1"/>
      <c r="B408" s="4" t="str">
        <f ca="1">IFERROR(__xludf.DUMMYFUNCTION("""COMPUTED_VALUE"""),"Социальное предпринимательство")</f>
        <v>Социальное предпринимательство</v>
      </c>
      <c r="C408" s="4" t="str">
        <f ca="1">IFERROR(__xludf.DUMMYFUNCTION("""COMPUTED_VALUE"""),"Социальное предпринимательство: тенденции, технологии, перспективы")</f>
        <v>Социальное предпринимательство: тенденции, технологии, перспективы</v>
      </c>
      <c r="D408" s="1" t="str">
        <f ca="1">IFERROR(__xludf.DUMMYFUNCTION("""COMPUTED_VALUE"""),"- Введение в тему социального предпринимательства Рассмотрение кейсов реализации проектов СП (Российский и зарубежный опыт)
- Разбор результатов анализа успешности деятельности организации
- Определение Целевой аудитории проекта СП
- Определение ценнос"&amp;"ти продукта проекта СП
- Инструменты социального проектирования")</f>
        <v>- Введение в тему социального предпринимательства Рассмотрение кейсов реализации проектов СП (Российский и зарубежный опыт)
- Разбор результатов анализа успешности деятельности организации
- Определение Целевой аудитории проекта СП
- Определение ценности продукта проекта СП
- Инструменты социального проектирования</v>
      </c>
    </row>
    <row r="409" spans="1:4" ht="25.5" x14ac:dyDescent="0.2">
      <c r="A409" s="1"/>
      <c r="B409" s="4" t="str">
        <f ca="1">IFERROR(__xludf.DUMMYFUNCTION("""COMPUTED_VALUE"""),"Социальное предпринимательство")</f>
        <v>Социальное предпринимательство</v>
      </c>
      <c r="C409" s="4" t="str">
        <f ca="1">IFERROR(__xludf.DUMMYFUNCTION("""COMPUTED_VALUE"""),"Бизнес-форсайт: создаём социальный бизнес")</f>
        <v>Бизнес-форсайт: создаём социальный бизнес</v>
      </c>
      <c r="D409" s="1" t="str">
        <f ca="1">IFERROR(__xludf.DUMMYFUNCTION("""COMPUTED_VALUE"""),"- Бизнес – модель социального предпринимательства
 - Мозговой штурм «Преобразование бизнес-модели проекта». Заполнение колеса успешности организации.
 - Анализ бизнес-процессов организации
 - Форсайт-сессия «Стратегия голубого океана»")</f>
        <v>- Бизнес – модель социального предпринимательства
 - Мозговой штурм «Преобразование бизнес-модели проекта». Заполнение колеса успешности организации.
 - Анализ бизнес-процессов организации
 - Форсайт-сессия «Стратегия голубого океана»</v>
      </c>
    </row>
    <row r="410" spans="1:4" ht="25.5" x14ac:dyDescent="0.2">
      <c r="A410" s="1"/>
      <c r="B410" s="4" t="str">
        <f ca="1">IFERROR(__xludf.DUMMYFUNCTION("""COMPUTED_VALUE"""),"Социальное предпринимательство")</f>
        <v>Социальное предпринимательство</v>
      </c>
      <c r="C410" s="4" t="str">
        <f ca="1">IFERROR(__xludf.DUMMYFUNCTION("""COMPUTED_VALUE"""),"Продукт проекта — все или ничего")</f>
        <v>Продукт проекта — все или ничего</v>
      </c>
      <c r="D410" s="1" t="str">
        <f ca="1">IFERROR(__xludf.DUMMYFUNCTION("""COMPUTED_VALUE"""),"- Маркетинг-микс: сегментирование и позиционирование. 
- Ключевые компетенции и конкурентные преимущества. Выбор конкурентной стратегии 
- Уникальное Торговое предложение 
- Анализ востребованности: виды тестирования продукта, анализ рынка, анализ клиенто"&amp;"в и конкурентов
- Маркетинг продуктов и услуг
- Ценообразование
- План развития продукта проекта")</f>
        <v>- Маркетинг-микс: сегментирование и позиционирование. 
- Ключевые компетенции и конкурентные преимущества. Выбор конкурентной стратегии 
- Уникальное Торговое предложение 
- Анализ востребованности: виды тестирования продукта, анализ рынка, анализ клиентов и конкурентов
- Маркетинг продуктов и услуг
- Ценообразование
- План развития продукта проекта</v>
      </c>
    </row>
    <row r="411" spans="1:4" ht="38.25" x14ac:dyDescent="0.2">
      <c r="A411" s="1"/>
      <c r="B411" s="4" t="str">
        <f ca="1">IFERROR(__xludf.DUMMYFUNCTION("""COMPUTED_VALUE"""),"Социальное предпринимательство")</f>
        <v>Социальное предпринимательство</v>
      </c>
      <c r="C411" s="4" t="str">
        <f ca="1">IFERROR(__xludf.DUMMYFUNCTION("""COMPUTED_VALUE"""),"Формула устойчивости проекта социального предпринимательства")</f>
        <v>Формула устойчивости проекта социального предпринимательства</v>
      </c>
      <c r="D411" s="1" t="str">
        <f ca="1">IFERROR(__xludf.DUMMYFUNCTION("""COMPUTED_VALUE"""),"- Ключевые показали эффективности проекта
- Финансовое здоровье проекта. Расчет доходов и расходов
- Анализ инвестиционной привлекательности проекта (ПДС, окупаемость, безубыточность, ROI, NPV, прибыли и убытки)
- Формирование цены, ценовая эластичность, "&amp;"выбор ценовой стратегии
- Бизнес-план. Планирование и бюджетирование")</f>
        <v>- Ключевые показали эффективности проекта
- Финансовое здоровье проекта. Расчет доходов и расходов
- Анализ инвестиционной привлекательности проекта (ПДС, окупаемость, безубыточность, ROI, NPV, прибыли и убытки)
- Формирование цены, ценовая эластичность, выбор ценовой стратегии
- Бизнес-план. Планирование и бюджетирование</v>
      </c>
    </row>
    <row r="412" spans="1:4" ht="38.25" x14ac:dyDescent="0.2">
      <c r="A412" s="1"/>
      <c r="B412" s="4" t="str">
        <f ca="1">IFERROR(__xludf.DUMMYFUNCTION("""COMPUTED_VALUE"""),"Социальное предпринимательство")</f>
        <v>Социальное предпринимательство</v>
      </c>
      <c r="C412" s="4" t="str">
        <f ca="1">IFERROR(__xludf.DUMMYFUNCTION("""COMPUTED_VALUE"""),"Финансовое планирование — эффективное распределение денежных средств")</f>
        <v>Финансовое планирование — эффективное распределение денежных средств</v>
      </c>
      <c r="D412" s="1" t="str">
        <f ca="1">IFERROR(__xludf.DUMMYFUNCTION("""COMPUTED_VALUE""")," - Повышение ценности продукта
 - Жизненный цикл продукта
 - Матрица потребителей
 - Формула прибыли и расчет ключевых бизнес-показателей
 - Постановка целей и задач по модели сбалансированной системы показателей")</f>
        <v xml:space="preserve"> - Повышение ценности продукта
 - Жизненный цикл продукта
 - Матрица потребителей
 - Формула прибыли и расчет ключевых бизнес-показателей
 - Постановка целей и задач по модели сбалансированной системы показателей</v>
      </c>
    </row>
    <row r="413" spans="1:4" ht="25.5" x14ac:dyDescent="0.2">
      <c r="A413" s="1"/>
      <c r="B413" s="4" t="str">
        <f ca="1">IFERROR(__xludf.DUMMYFUNCTION("""COMPUTED_VALUE"""),"Социальное предпринимательство")</f>
        <v>Социальное предпринимательство</v>
      </c>
      <c r="C413" s="4" t="str">
        <f ca="1">IFERROR(__xludf.DUMMYFUNCTION("""COMPUTED_VALUE"""),"Как создать мотивированную эффективную команду")</f>
        <v>Как создать мотивированную эффективную команду</v>
      </c>
      <c r="D413" s="1" t="str">
        <f ca="1">IFERROR(__xludf.DUMMYFUNCTION("""COMPUTED_VALUE"""),"- Что мы называем командой. Почему, и какая именно команда нужна в социальном предпринимательстве.
- Миссия, видение, ценности и цели – основа сплочения коллектива.
- Роль вовлекающего лидерства в социально значимых проектах.
- Иметь личное видение того, "&amp;"«Какая именно команда нужна мне?». Коучинговое упражнение «Команда мечты».
- Главные концепции развития команды. Роль и действия руководителя в процессе командообразования.
- Подбор в команду – фундамент командного успеха. Как оценивать человека по ценнос"&amp;"тям и компетенциям.
- Роли в команде. Управление ролями. Какие роли выполняет руководитель в социально-ориентированном бизнесе.
- Мотивационные аспекты работы с коллективом: при выборе и в ходе управления сотрудником.
- Цикл жизни сотрудника в организации"&amp;". Развитие людей   ")</f>
        <v xml:space="preserve">- Что мы называем командой. Почему, и какая именно команда нужна в социальном предпринимательстве.
- Миссия, видение, ценности и цели – основа сплочения коллектива.
- Роль вовлекающего лидерства в социально значимых проектах.
- Иметь личное видение того, «Какая именно команда нужна мне?». Коучинговое упражнение «Команда мечты».
- Главные концепции развития команды. Роль и действия руководителя в процессе командообразования.
- Подбор в команду – фундамент командного успеха. Как оценивать человека по ценностям и компетенциям.
- Роли в команде. Управление ролями. Какие роли выполняет руководитель в социально-ориентированном бизнесе.
- Мотивационные аспекты работы с коллективом: при выборе и в ходе управления сотрудником.
- Цикл жизни сотрудника в организации. Развитие людей   </v>
      </c>
    </row>
    <row r="414" spans="1:4" ht="38.25" x14ac:dyDescent="0.2">
      <c r="A414" s="1"/>
      <c r="B414" s="4" t="str">
        <f ca="1">IFERROR(__xludf.DUMMYFUNCTION("""COMPUTED_VALUE"""),"Социальное предпринимательство")</f>
        <v>Социальное предпринимательство</v>
      </c>
      <c r="C414" s="4" t="str">
        <f ca="1">IFERROR(__xludf.DUMMYFUNCTION("""COMPUTED_VALUE"""),"Информационные инструменты работы — выстраиваем офис продаж в CRM")</f>
        <v>Информационные инструменты работы — выстраиваем офис продаж в CRM</v>
      </c>
      <c r="D414" s="1" t="str">
        <f ca="1">IFERROR(__xludf.DUMMYFUNCTION("""COMPUTED_VALUE"""),"- Как внедрить CRM для менеджеров и отдела продаж?
- Обзор CRM-системы. Основные инструменты и характеристики
- Как правильно выбрать CRM-систему и не допустить ошибок в процессе внедрения?
- Как собирать заявки со всех источников (почта, звонки, sms, мес"&amp;"сенджеры) в CRM систему?
- Контроль менеджера по продажам и оценка эффективности, как автоматизировать этот процесс?
- Как автоматизировать обработку входящих обращений клиентов и перестать терять продажи?
- Как выстроить систему повторных продаж за счет "&amp;"автоматических напоминаний?
- Как ускорить передачу информации между сотрудниками и отделами?
- Как ставить автоматические задачи для менеджеров и не терять клиентов?
- Как внедрить автоматический скрипт звонка с отслеживанием эффективности на каждой фраз"&amp;"е?
- Как увеличить на 30% эффективность отдела продаж?")</f>
        <v>- Как внедрить CRM для менеджеров и отдела продаж?
- Обзор CRM-системы. Основные инструменты и характеристики
- Как правильно выбрать CRM-систему и не допустить ошибок в процессе внедрения?
- Как собирать заявки со всех источников (почта, звонки, sms, мессенджеры) в CRM систему?
- Контроль менеджера по продажам и оценка эффективности, как автоматизировать этот процесс?
- Как автоматизировать обработку входящих обращений клиентов и перестать терять продажи?
- Как выстроить систему повторных продаж за счет автоматических напоминаний?
- Как ускорить передачу информации между сотрудниками и отделами?
- Как ставить автоматические задачи для менеджеров и не терять клиентов?
- Как внедрить автоматический скрипт звонка с отслеживанием эффективности на каждой фразе?
- Как увеличить на 30% эффективность отдела продаж?</v>
      </c>
    </row>
    <row r="415" spans="1:4" ht="25.5" x14ac:dyDescent="0.2">
      <c r="A415" s="1"/>
      <c r="B415" s="4" t="str">
        <f ca="1">IFERROR(__xludf.DUMMYFUNCTION("""COMPUTED_VALUE"""),"Социальное предпринимательство")</f>
        <v>Социальное предпринимательство</v>
      </c>
      <c r="C415" s="4" t="str">
        <f ca="1">IFERROR(__xludf.DUMMYFUNCTION("""COMPUTED_VALUE"""),"Продвижение в интернете — как начать привлекать клиентов")</f>
        <v>Продвижение в интернете — как начать привлекать клиентов</v>
      </c>
      <c r="D415" s="1" t="str">
        <f ca="1">IFERROR(__xludf.DUMMYFUNCTION("""COMPUTED_VALUE"""),"-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р"&amp;"екламы?
- Разбор 6 быстрых схем привлечения клиентов за 1 день
- Схема работы с подрядчиками, критерии выбора")</f>
        <v>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рекламы?
- Разбор 6 быстрых схем привлечения клиентов за 1 день
- Схема работы с подрядчиками, критерии выбора</v>
      </c>
    </row>
    <row r="416" spans="1:4" ht="25.5" x14ac:dyDescent="0.2">
      <c r="A416" s="1"/>
      <c r="B416" s="4" t="str">
        <f ca="1">IFERROR(__xludf.DUMMYFUNCTION("""COMPUTED_VALUE"""),"Социальное предпринимательство")</f>
        <v>Социальное предпринимательство</v>
      </c>
      <c r="C416" s="4" t="str">
        <f ca="1">IFERROR(__xludf.DUMMYFUNCTION("""COMPUTED_VALUE"""),"Сторителлинг и личный бренд социального предпринимателя")</f>
        <v>Сторителлинг и личный бренд социального предпринимателя</v>
      </c>
      <c r="D416" s="1" t="str">
        <f ca="1">IFERROR(__xludf.DUMMYFUNCTION("""COMPUTED_VALUE"""),"- Личный бренд - для чего необходим и как правильно выстраивать 
- Ключевые подходы формирования личного бренда для социального предпринимателя
- Правила сторителлинга
- PR без бюджета: как писать пресс-релизы, правильно выстраивать коммуникации с прессой"&amp;" и получать сотни бесплатных публикаций о Вас и Вашей компании ")</f>
        <v xml:space="preserve">- Личный бренд - для чего необходим и как правильно выстраивать 
- Ключевые подходы формирования личного бренда для социального предпринимателя
- Правила сторителлинга
- PR без бюджета: как писать пресс-релизы, правильно выстраивать коммуникации с прессой и получать сотни бесплатных публикаций о Вас и Вашей компании </v>
      </c>
    </row>
    <row r="417" spans="1:4" ht="25.5" x14ac:dyDescent="0.2">
      <c r="A417" s="1"/>
      <c r="B417" s="4" t="str">
        <f ca="1">IFERROR(__xludf.DUMMYFUNCTION("""COMPUTED_VALUE"""),"Социальное предпринимательство")</f>
        <v>Социальное предпринимательство</v>
      </c>
      <c r="C417" s="4" t="str">
        <f ca="1">IFERROR(__xludf.DUMMYFUNCTION("""COMPUTED_VALUE"""),"Сторителлинг и личный бренд социального предпринимателя")</f>
        <v>Сторителлинг и личный бренд социального предпринимателя</v>
      </c>
      <c r="D417" s="1" t="str">
        <f ca="1">IFERROR(__xludf.DUMMYFUNCTION("""COMPUTED_VALUE"""),"- Личный бренд - для чего необходим и как правильно выстраивать 
- Ключевые подходы формирования личного бренда для социального предпринимателя
- Правила сторителлинга
- PR без бюджета: как писать пресс-релизы, правильно выстраивать коммуникации с прессой"&amp;" и получать сотни бесплатных публикаций о Вас и Вашей компании ")</f>
        <v xml:space="preserve">- Личный бренд - для чего необходим и как правильно выстраивать 
- Ключевые подходы формирования личного бренда для социального предпринимателя
- Правила сторителлинга
- PR без бюджета: как писать пресс-релизы, правильно выстраивать коммуникации с прессой и получать сотни бесплатных публикаций о Вас и Вашей компании </v>
      </c>
    </row>
    <row r="418" spans="1:4" ht="12.75" x14ac:dyDescent="0.2">
      <c r="A418" s="1"/>
      <c r="B418" s="4" t="str">
        <f ca="1">IFERROR(__xludf.DUMMYFUNCTION("""COMPUTED_VALUE"""),"Социальное предпринимательство")</f>
        <v>Социальное предпринимательство</v>
      </c>
      <c r="C418" s="4" t="str">
        <f ca="1">IFERROR(__xludf.DUMMYFUNCTION("""COMPUTED_VALUE"""),"Завершение курса — бизнес-игра")</f>
        <v>Завершение курса — бизнес-игра</v>
      </c>
      <c r="D418" s="1" t="str">
        <f ca="1">IFERROR(__xludf.DUMMYFUNCTION("""COMPUTED_VALUE"""),"- Презентация итогов обучения
- Фасилитация по проектам и перспективным планам на среднесрочный период
- Бизнес-игра ""Построй бизнес за час""")</f>
        <v>- Презентация итогов обучения
- Фасилитация по проектам и перспективным планам на среднесрочный период
- Бизнес-игра "Построй бизнес за час"</v>
      </c>
    </row>
    <row r="419" spans="1:4" ht="25.5" x14ac:dyDescent="0.2">
      <c r="A419" s="1"/>
      <c r="B419" s="4" t="str">
        <f ca="1">IFERROR(__xludf.DUMMYFUNCTION("""COMPUTED_VALUE"""),"Дизайн-мышление")</f>
        <v>Дизайн-мышление</v>
      </c>
      <c r="C419" s="4" t="str">
        <f ca="1">IFERROR(__xludf.DUMMYFUNCTION("""COMPUTED_VALUE"""),"Введение в понятие дизайн-мышления")</f>
        <v>Введение в понятие дизайн-мышления</v>
      </c>
      <c r="D419" s="1" t="str">
        <f ca="1">IFERROR(__xludf.DUMMYFUNCTION("""COMPUTED_VALUE"""),"— Что такое дизайн-мышление?
— Каковы основные этапы?
— Чем отличается методология дизайн-мышления от поиска стандартных решений?
— Правила дизайн-мышления
— Отличительные особенности метода дизайн-мышления")</f>
        <v>— Что такое дизайн-мышление?
— Каковы основные этапы?
— Чем отличается методология дизайн-мышления от поиска стандартных решений?
— Правила дизайн-мышления
— Отличительные особенности метода дизайн-мышления</v>
      </c>
    </row>
    <row r="420" spans="1:4" ht="25.5" x14ac:dyDescent="0.2">
      <c r="A420" s="1"/>
      <c r="B420" s="4" t="str">
        <f ca="1">IFERROR(__xludf.DUMMYFUNCTION("""COMPUTED_VALUE"""),"Дизайн-мышление")</f>
        <v>Дизайн-мышление</v>
      </c>
      <c r="C420" s="4" t="str">
        <f ca="1">IFERROR(__xludf.DUMMYFUNCTION("""COMPUTED_VALUE"""),"Место и роль эмпатии в дизайн-мышлении для бизнеса")</f>
        <v>Место и роль эмпатии в дизайн-мышлении для бизнеса</v>
      </c>
      <c r="D420" s="1" t="str">
        <f ca="1">IFERROR(__xludf.DUMMYFUNCTION("""COMPUTED_VALUE"""),"— Как эмпатия позволяет создать выигрышный продукт?
— Какие существуют форматы клиентских исследований?
— Как подобрать нужный формат?
— Глубинные интервью: сколько клиентов проинтервьюировать, чтобы было достаточно? 
— Этапы, ключевые темы, вопросы и под"&amp;"сказки для проведения
глубинного интервью
— Какими навыками обладают профессиональные интервьюеры?")</f>
        <v>— Как эмпатия позволяет создать выигрышный продукт?
— Какие существуют форматы клиентских исследований?
— Как подобрать нужный формат?
— Глубинные интервью: сколько клиентов проинтервьюировать, чтобы было достаточно? 
— Этапы, ключевые темы, вопросы и подсказки для проведения
глубинного интервью
— Какими навыками обладают профессиональные интервьюеры?</v>
      </c>
    </row>
    <row r="421" spans="1:4" ht="38.25" x14ac:dyDescent="0.2">
      <c r="A421" s="1"/>
      <c r="B421" s="4" t="str">
        <f ca="1">IFERROR(__xludf.DUMMYFUNCTION("""COMPUTED_VALUE"""),"Дизайн-мышление")</f>
        <v>Дизайн-мышление</v>
      </c>
      <c r="C421" s="4" t="str">
        <f ca="1">IFERROR(__xludf.DUMMYFUNCTION("""COMPUTED_VALUE"""),"Анализ результатов проведенных исследований, фокусировка и выделение проблем")</f>
        <v>Анализ результатов проведенных исследований, фокусировка и выделение проблем</v>
      </c>
      <c r="D421" s="1" t="str">
        <f ca="1">IFERROR(__xludf.DUMMYFUNCTION("""COMPUTED_VALUE"""),"— Как структурировать информацию из клиентского исследования?
— Как правильно выявить потребность клиента?
— Как можно моделировать клиентский опыт?
— Какие примеры существуют в практике?")</f>
        <v>— Как структурировать информацию из клиентского исследования?
— Как правильно выявить потребность клиента?
— Как можно моделировать клиентский опыт?
— Какие примеры существуют в практике?</v>
      </c>
    </row>
    <row r="422" spans="1:4" ht="25.5" x14ac:dyDescent="0.2">
      <c r="A422" s="1"/>
      <c r="B422" s="4" t="str">
        <f ca="1">IFERROR(__xludf.DUMMYFUNCTION("""COMPUTED_VALUE"""),"Дизайн-мышление")</f>
        <v>Дизайн-мышление</v>
      </c>
      <c r="C422" s="4" t="str">
        <f ca="1">IFERROR(__xludf.DUMMYFUNCTION("""COMPUTED_VALUE"""),"Генерация идей — новые возможности бизнеса")</f>
        <v>Генерация идей — новые возможности бизнеса</v>
      </c>
      <c r="D422" s="1" t="str">
        <f ca="1">IFERROR(__xludf.DUMMYFUNCTION("""COMPUTED_VALUE"""),"— Какие существуют методы генерации идей?
— Где искать лучшие идеи?
— Как получить максимум идей от команды?
— Как лучше организовать групповую динамику при генерации идей?
— Как можно приоритезировать идеи?
— Как выбрать правильную идею в проработку?")</f>
        <v>— Какие существуют методы генерации идей?
— Где искать лучшие идеи?
— Как получить максимум идей от команды?
— Как лучше организовать групповую динамику при генерации идей?
— Как можно приоритезировать идеи?
— Как выбрать правильную идею в проработку?</v>
      </c>
    </row>
    <row r="423" spans="1:4" ht="38.25" x14ac:dyDescent="0.2">
      <c r="A423" s="1"/>
      <c r="B423" s="4" t="str">
        <f ca="1">IFERROR(__xludf.DUMMYFUNCTION("""COMPUTED_VALUE"""),"Дизайн-мышление")</f>
        <v>Дизайн-мышление</v>
      </c>
      <c r="C423" s="4" t="str">
        <f ca="1">IFERROR(__xludf.DUMMYFUNCTION("""COMPUTED_VALUE"""),"Прототипирование продукта/услуги/решения проблем")</f>
        <v>Прототипирование продукта/услуги/решения проблем</v>
      </c>
      <c r="D423" s="1" t="str">
        <f ca="1">IFERROR(__xludf.DUMMYFUNCTION("""COMPUTED_VALUE"""),"— Какой цели служит создание прототипа?
— Что самое важное в прототипе?
— Какие инструменты используются для прототипирования?
— Что включать в прототип?
— Как правильно построить процесс прототипирования?")</f>
        <v>— Какой цели служит создание прототипа?
— Что самое важное в прототипе?
— Какие инструменты используются для прототипирования?
— Что включать в прототип?
— Как правильно построить процесс прототипирования?</v>
      </c>
    </row>
    <row r="424" spans="1:4" ht="51" x14ac:dyDescent="0.2">
      <c r="A424" s="1"/>
      <c r="B424" s="4" t="str">
        <f ca="1">IFERROR(__xludf.DUMMYFUNCTION("""COMPUTED_VALUE"""),"Дизайн-мышление")</f>
        <v>Дизайн-мышление</v>
      </c>
      <c r="C424" s="4" t="str">
        <f ca="1">IFERROR(__xludf.DUMMYFUNCTION("""COMPUTED_VALUE"""),"Тестирование продукта — проверка идеи на жизнеспособность и применимость")</f>
        <v>Тестирование продукта — проверка идеи на жизнеспособность и применимость</v>
      </c>
      <c r="D424" s="1" t="str">
        <f ca="1">IFERROR(__xludf.DUMMYFUNCTION("""COMPUTED_VALUE"""),"— Какие ошибки как правило допускают в тестировании?
— Как протестировать прототип так, чтобы узнать от клиента ценную обратную связь?
— Что такое концептуальное тестирование и почему оно особенно полезно в условиях высокой неопределенности?
— Матрица тес"&amp;"тирования: как заполнять")</f>
        <v>— Какие ошибки как правило допускают в тестировании?
— Как протестировать прототип так, чтобы узнать от клиента ценную обратную связь?
— Что такое концептуальное тестирование и почему оно особенно полезно в условиях высокой неопределенности?
— Матрица тестирования: как заполнять</v>
      </c>
    </row>
    <row r="425" spans="1:4" ht="25.5" x14ac:dyDescent="0.2">
      <c r="A425" s="1"/>
      <c r="B425" s="4" t="str">
        <f ca="1">IFERROR(__xludf.DUMMYFUNCTION("""COMPUTED_VALUE"""),"производственный форум")</f>
        <v>производственный форум</v>
      </c>
      <c r="C425" s="4" t="str">
        <f ca="1">IFERROR(__xludf.DUMMYFUNCTION("""COMPUTED_VALUE"""),"Бизнес-моделирование для развития производства")</f>
        <v>Бизнес-моделирование для развития производства</v>
      </c>
      <c r="D425" s="1" t="str">
        <f ca="1">IFERROR(__xludf.DUMMYFUNCTION("""COMPUTED_VALUE"""),"- Как выводить продукцию на новые рынки?
- Что необходимо учитывать при разработке новых товаров?
- Описание бизнес-модели предприятия с помощью модели Остервальдера
- Составление новой технологии развития для вашего бизнеса")</f>
        <v>- Как выводить продукцию на новые рынки?
- Что необходимо учитывать при разработке новых товаров?
- Описание бизнес-модели предприятия с помощью модели Остервальдера
- Составление новой технологии развития для вашего бизнеса</v>
      </c>
    </row>
    <row r="426" spans="1:4" ht="25.5" x14ac:dyDescent="0.2">
      <c r="A426" s="1"/>
      <c r="B426" s="4" t="str">
        <f ca="1">IFERROR(__xludf.DUMMYFUNCTION("""COMPUTED_VALUE"""),"производственный форум")</f>
        <v>производственный форум</v>
      </c>
      <c r="C426" s="4" t="str">
        <f ca="1">IFERROR(__xludf.DUMMYFUNCTION("""COMPUTED_VALUE"""),"Найм и мотивация персонала в сфере производства ")</f>
        <v xml:space="preserve">Найм и мотивация персонала в сфере производства </v>
      </c>
      <c r="D426" s="1" t="str">
        <f ca="1">IFERROR(__xludf.DUMMYFUNCTION("""COMPUTED_VALUE"""),"- Как правильно составлять вакансии и проводить собеседования
- Выстраивание системной работы с персоналом и адекватной системы мотивации, оцифровывание ключевых показателей эффективности
- Выявление соответствия сотрудников и их талантов, относительно за"&amp;"нимаемой позиции и решаемым задачам
- Как проводить ротацию кадров
- Как делегировать и освобождать больше времени для решения стратегических задач и реализации других своих интересов, как ставить задачи и контролировать выполнение 
- Повышение эффективно"&amp;"сти своей коммуникации, объединие коллектива в лучшую команду в своей нише")</f>
        <v>- Как правильно составлять вакансии и проводить собеседования
- Выстраивание системной работы с персоналом и адекватной системы мотивации, оцифровывание ключевых показателей эффективности
- Выявление соответствия сотрудников и их талантов, относительно занимаемой позиции и решаемым задачам
- Как проводить ротацию кадров
- Как делегировать и освобождать больше времени для решения стратегических задач и реализации других своих интересов, как ставить задачи и контролировать выполнение 
- Повышение эффективности своей коммуникации, объединие коллектива в лучшую команду в своей нише</v>
      </c>
    </row>
    <row r="427" spans="1:4" ht="63.75" x14ac:dyDescent="0.2">
      <c r="A427" s="1"/>
      <c r="B427" s="4"/>
      <c r="C427" s="4" t="str">
        <f ca="1">IFERROR(__xludf.DUMMYFUNCTION("""COMPUTED_VALUE"""),"Публичные выступления — подготовка, работа с аудиторией, вербальная и невербальная коммуникация, усилители выступлений")</f>
        <v>Публичные выступления — подготовка, работа с аудиторией, вербальная и невербальная коммуникация, усилители выступлений</v>
      </c>
      <c r="D427" s="1" t="str">
        <f ca="1">IFERROR(__xludf.DUMMYFUNCTION("""COMPUTED_VALUE"""),"1) Работа на сцене и в зале 
- Как избежать страха выступлений 
- Как отработать навык самопрезентаций 
- Язык тела, жесты и правила их использования 
- Составляющие выступления 
2) Выступление и фишки работы с аудиторией 
- Как удержать внимание аудито"&amp;"рии 
- Сторителлинг и другие техники выступлений 
- Фишки и усилители выступлений 
3) Речь 
- Развитие базы голоса 
- Улучшение дикции и произношения 
- Грамотное использование интонации ")</f>
        <v xml:space="preserve">1) Работа на сцене и в зале 
- Как избежать страха выступлений 
- Как отработать навык самопрезентаций 
- Язык тела, жесты и правила их использования 
- Составляющие выступления 
2) Выступление и фишки работы с аудиторией 
- Как удержать внимание аудитории 
- Сторителлинг и другие техники выступлений 
- Фишки и усилители выступлений 
3) Речь 
- Развитие базы голоса 
- Улучшение дикции и произношения 
- Грамотное использование интонации </v>
      </c>
    </row>
    <row r="428" spans="1:4" ht="25.5" x14ac:dyDescent="0.2">
      <c r="A428" s="1"/>
      <c r="B428" s="4" t="str">
        <f ca="1">IFERROR(__xludf.DUMMYFUNCTION("""COMPUTED_VALUE"""),"соц предпринимательство")</f>
        <v>соц предпринимательство</v>
      </c>
      <c r="C428" s="4" t="str">
        <f ca="1">IFERROR(__xludf.DUMMYFUNCTION("""COMPUTED_VALUE"""),"Привлечение стартового капитала на запуск социального бизнеса")</f>
        <v>Привлечение стартового капитала на запуск социального бизнеса</v>
      </c>
      <c r="D428" s="1" t="str">
        <f ca="1">IFERROR(__xludf.DUMMYFUNCTION("""COMPUTED_VALUE"""),"- Взаимодействие со спонсорами, органами власти, СМИ
- Как найти спонсора, а не инвестора? Возможности получения государственной̆ поддержки
- PR без бюджета на федеральных каналах")</f>
        <v>- Взаимодействие со спонсорами, органами власти, СМИ
- Как найти спонсора, а не инвестора? Возможности получения государственной̆ поддержки
- PR без бюджета на федеральных каналах</v>
      </c>
    </row>
    <row r="429" spans="1:4" ht="38.25" x14ac:dyDescent="0.2">
      <c r="A429" s="1"/>
      <c r="B429" s="4" t="str">
        <f ca="1">IFERROR(__xludf.DUMMYFUNCTION("""COMPUTED_VALUE"""),"Персона бьюти")</f>
        <v>Персона бьюти</v>
      </c>
      <c r="C429" s="4" t="str">
        <f ca="1">IFERROR(__xludf.DUMMYFUNCTION("""COMPUTED_VALUE"""),"Путь мастера (специалиста, ремесленника, профессионала) – развитие специалиста")</f>
        <v>Путь мастера (специалиста, ремесленника, профессионала) – развитие специалиста</v>
      </c>
      <c r="D429" s="1" t="str">
        <f ca="1">IFERROR(__xludf.DUMMYFUNCTION("""COMPUTED_VALUE"""),"- Новые возможности развития для мастера в бьюти индустрии: куда идти дальше и как
зарабатывать больше?
- Как стать лидером, получить признание от клиентов и коллег
- Вертикальное и горизонтальное развитие (по 4 направлениям):
1. творческое и профессионал"&amp;"ьное развитие
2. эффективность
3. личный бренд
4. личные финансы
- Варианты развития: куда можно двигаться из текущей точки, кем стать через 1 год, через 3
года")</f>
        <v>- Новые возможности развития для мастера в бьюти индустрии: куда идти дальше и как
зарабатывать больше?
- Как стать лидером, получить признание от клиентов и коллег
- Вертикальное и горизонтальное развитие (по 4 направлениям):
1. творческое и профессиональное развитие
2. эффективность
3. личный бренд
4. личные финансы
- Варианты развития: куда можно двигаться из текущей точки, кем стать через 1 год, через 3
года</v>
      </c>
    </row>
    <row r="430" spans="1:4" ht="25.5" x14ac:dyDescent="0.2">
      <c r="A430" s="1"/>
      <c r="B430" s="4"/>
      <c r="C430" s="4" t="str">
        <f ca="1">IFERROR(__xludf.DUMMYFUNCTION("""COMPUTED_VALUE"""),"Работа с расписанием и клиентской базой")</f>
        <v>Работа с расписанием и клиентской базой</v>
      </c>
      <c r="D430" s="1" t="str">
        <f ca="1">IFERROR(__xludf.DUMMYFUNCTION("""COMPUTED_VALUE"""),"- Работа с личным и рабочим расписанием. Запись клиентов – формирование клиентской базы
- Как грамотно распределять время и не терять клиентов и записи
- Инструменты работы с личным и рабочим расписанием: от ежедневника до crm-системы
- Инструменты для эф"&amp;"фективной работы с клиентами
- Что выбрать: работу каждый день по несколько часов или несколько раз в неделю полный день?
- Какую важную информацию следует спросить у клиента при записи?")</f>
        <v>- Работа с личным и рабочим расписанием. Запись клиентов – формирование клиентской базы
- Как грамотно распределять время и не терять клиентов и записи
- Инструменты работы с личным и рабочим расписанием: от ежедневника до crm-системы
- Инструменты для эффективной работы с клиентами
- Что выбрать: работу каждый день по несколько часов или несколько раз в неделю полный день?
- Какую важную информацию следует спросить у клиента при записи?</v>
      </c>
    </row>
    <row r="431" spans="1:4" ht="25.5" x14ac:dyDescent="0.2">
      <c r="A431" s="1"/>
      <c r="B431" s="4"/>
      <c r="C431" s="4" t="str">
        <f ca="1">IFERROR(__xludf.DUMMYFUNCTION("""COMPUTED_VALUE"""),"Как увеличить доход в 3 раза, работая меньше")</f>
        <v>Как увеличить доход в 3 раза, работая меньше</v>
      </c>
      <c r="D431" s="1" t="str">
        <f ca="1">IFERROR(__xludf.DUMMYFUNCTION("""COMPUTED_VALUE"""),"- Личная система доходов и расходов. План достижения своей финансовой цели
- Инструменты для увеличения дохода минимум в 3 раза: доп продажи, доп услуги, увеличение прайса, оптимизация расходов на материалы и инструменты
- Что выбрать: повысить стоимость "&amp;"своих услуг или привлечь больше клиентов?
- Как разделять личные и рабочие деньги?
- Как сделать систему постатейного ведения расходов и доходов
- Считаем стоимость часа работы")</f>
        <v>- Личная система доходов и расходов. План достижения своей финансовой цели
- Инструменты для увеличения дохода минимум в 3 раза: доп продажи, доп услуги, увеличение прайса, оптимизация расходов на материалы и инструменты
- Что выбрать: повысить стоимость своих услуг или привлечь больше клиентов?
- Как разделять личные и рабочие деньги?
- Как сделать систему постатейного ведения расходов и доходов
- Считаем стоимость часа работы</v>
      </c>
    </row>
    <row r="432" spans="1:4" ht="25.5" x14ac:dyDescent="0.2">
      <c r="A432" s="1"/>
      <c r="B432" s="4"/>
      <c r="C432" s="4" t="str">
        <f ca="1">IFERROR(__xludf.DUMMYFUNCTION("""COMPUTED_VALUE"""),"5 шагов для создания личного бренда и его продвижения")</f>
        <v>5 шагов для создания личного бренда и его продвижения</v>
      </c>
      <c r="D432" s="1" t="str">
        <f ca="1">IFERROR(__xludf.DUMMYFUNCTION("""COMPUTED_VALUE"""),"- Целевая аудитория
- Создание или анализ и продвижение страницы в социальных сетях
- Как вести соц сети: 5 шагов для создания и развития
- Как найти клиентов используя личный бренд")</f>
        <v>- Целевая аудитория
- Создание или анализ и продвижение страницы в социальных сетях
- Как вести соц сети: 5 шагов для создания и развития
- Как найти клиентов используя личный бренд</v>
      </c>
    </row>
    <row r="433" spans="1:4" ht="25.5" x14ac:dyDescent="0.2">
      <c r="A433" s="1"/>
      <c r="B433" s="4"/>
      <c r="C433" s="4" t="str">
        <f ca="1">IFERROR(__xludf.DUMMYFUNCTION("""COMPUTED_VALUE"""),"Коммуникации с клиентами и поставщиками")</f>
        <v>Коммуникации с клиентами и поставщиками</v>
      </c>
      <c r="D433" s="1" t="str">
        <f ca="1">IFERROR(__xludf.DUMMYFUNCTION("""COMPUTED_VALUE"""),"- Как грамотно вести диалог с клиентами, чтобы они не уходили, возвращались и делились
- Как получить хорошие условия от поставщиков
- Как решать конфликты и не ввязываться в них, примеры конфликтов
- Как общаться с клиентами для сохранения и расширения к"&amp;"лиентской базы
- Как реагировать на негативные отзывы
- Путь клиента: как довести клиента до записи")</f>
        <v>- Как грамотно вести диалог с клиентами, чтобы они не уходили, возвращались и делились
- Как получить хорошие условия от поставщиков
- Как решать конфликты и не ввязываться в них, примеры конфликтов
- Как общаться с клиентами для сохранения и расширения клиентской базы
- Как реагировать на негативные отзывы
- Путь клиента: как довести клиента до записи</v>
      </c>
    </row>
    <row r="434" spans="1:4" ht="12.75" x14ac:dyDescent="0.2">
      <c r="A434" s="1"/>
      <c r="B434" s="4"/>
      <c r="C434" s="4" t="str">
        <f ca="1">IFERROR(__xludf.DUMMYFUNCTION("""COMPUTED_VALUE"""),"Самозанятость – это просто")</f>
        <v>Самозанятость – это просто</v>
      </c>
      <c r="D434" s="1" t="str">
        <f ca="1">IFERROR(__xludf.DUMMYFUNCTION("""COMPUTED_VALUE"""),"- Преимущества работы легальной работы в бьюти
- Как оформлять себя самозанятому мастеру?
- Риски работы без оформления
- Как работать легально, платить небольшие налоги и спать спокойно
- Как легализация влияет на безопасность клиента")</f>
        <v>- Преимущества работы легальной работы в бьюти
- Как оформлять себя самозанятому мастеру?
- Риски работы без оформления
- Как работать легально, платить небольшие налоги и спать спокойно
- Как легализация влияет на безопасность клиента</v>
      </c>
    </row>
    <row r="435" spans="1:4" ht="25.5" x14ac:dyDescent="0.2">
      <c r="A435" s="1"/>
      <c r="B435" s="4"/>
      <c r="C435" s="4" t="str">
        <f ca="1">IFERROR(__xludf.DUMMYFUNCTION("""COMPUTED_VALUE"""),"Личная мотивация и эффективность")</f>
        <v>Личная мотивация и эффективность</v>
      </c>
      <c r="D435" s="1" t="str">
        <f ca="1">IFERROR(__xludf.DUMMYFUNCTION("""COMPUTED_VALUE"""),"- Определение личных целей и приоритетов
- Работа с личными ресурсами
- Как зависит результат работы от физического и ментального состояния мастера
- Как все успевать и чувствовать себя в ресурсе
- Здоровье и физическое состояние мастера
- Правильно ли вы"&amp;" спите?")</f>
        <v>- Определение личных целей и приоритетов
- Работа с личными ресурсами
- Как зависит результат работы от физического и ментального состояния мастера
- Как все успевать и чувствовать себя в ресурсе
- Здоровье и физическое состояние мастера
- Правильно ли вы спите?</v>
      </c>
    </row>
    <row r="436" spans="1:4" ht="25.5" x14ac:dyDescent="0.2">
      <c r="A436" s="1"/>
      <c r="B436" s="4"/>
      <c r="C436" s="4" t="str">
        <f ca="1">IFERROR(__xludf.DUMMYFUNCTION("""COMPUTED_VALUE"""),"Личный имидж мастера. Как не допустить творческого кризиса")</f>
        <v>Личный имидж мастера. Как не допустить творческого кризиса</v>
      </c>
      <c r="D436" s="1" t="str">
        <f ca="1">IFERROR(__xludf.DUMMYFUNCTION("""COMPUTED_VALUE"""),"- Как нужно выглядеть мастеру бьюти-индустрии - стилистика
- Творческие кризисы и пути их преодоления
- Как выйти из творческого застоя
- План профессионального развития
- Клиенты не дают творить, что делать?")</f>
        <v>- Как нужно выглядеть мастеру бьюти-индустрии - стилистика
- Творческие кризисы и пути их преодоления
- Как выйти из творческого застоя
- План профессионального развития
- Клиенты не дают творить, что делать?</v>
      </c>
    </row>
    <row r="437" spans="1:4" ht="12.75" x14ac:dyDescent="0.2">
      <c r="A437" s="1"/>
      <c r="B437" s="4" t="str">
        <f ca="1">IFERROR(__xludf.DUMMYFUNCTION("""COMPUTED_VALUE"""),"Ресторанный бизнес")</f>
        <v>Ресторанный бизнес</v>
      </c>
      <c r="C437" s="4" t="str">
        <f ca="1">IFERROR(__xludf.DUMMYFUNCTION("""COMPUTED_VALUE"""),"Открытие программы")</f>
        <v>Открытие программы</v>
      </c>
      <c r="D437" s="1" t="str">
        <f ca="1">IFERROR(__xludf.DUMMYFUNCTION("""COMPUTED_VALUE"""),"- История развития бизнеса Александра Кравцова 
- Как выглядит идеальный бизнес-процесс в сфере общественного питания?
- На что в первую очередь обратить внимание в своем бизнесе?
- Что актуально открывать в ЯНАО в 2021? Обзор рынка ")</f>
        <v xml:space="preserve">- История развития бизнеса Александра Кравцова 
- Как выглядит идеальный бизнес-процесс в сфере общественного питания?
- На что в первую очередь обратить внимание в своем бизнесе?
- Что актуально открывать в ЯНАО в 2021? Обзор рынка </v>
      </c>
    </row>
    <row r="438" spans="1:4" ht="12.75" x14ac:dyDescent="0.2">
      <c r="A438" s="1"/>
      <c r="B438" s="4"/>
      <c r="C438" s="4" t="str">
        <f ca="1">IFERROR(__xludf.DUMMYFUNCTION("""COMPUTED_VALUE"""),"Выбор и покупка франшизы")</f>
        <v>Выбор и покупка франшизы</v>
      </c>
      <c r="D438" s="1" t="str">
        <f ca="1">IFERROR(__xludf.DUMMYFUNCTION("""COMPUTED_VALUE"""),"- Франчайзинг в общепите, успешные кейсы 
- Какие франшизы будут востребованы сейчас и в ближайшем будущем в сфере питания?
- Форматы сотрудничества: франшиза, доверительное управление, долевое участие
- Какие франшизы выбрать в 2021 году, учитывая рынок "&amp;"ЯНАО?
- Как не потерять деньги при выборе франшизы?
- Какие вопросы задать владельцу франшизы? 
- Где искать франшизу? Обзор франчайзинговых площадок
- Каким критериям должна соответствовать франшиза в сфере общественного питания? 
- Подробно о составе фр"&amp;"анчайзингового пакета: договор, брендбук, стандарты и регламенты
")</f>
        <v xml:space="preserve">- Франчайзинг в общепите, успешные кейсы 
- Какие франшизы будут востребованы сейчас и в ближайшем будущем в сфере питания?
- Форматы сотрудничества: франшиза, доверительное управление, долевое участие
- Какие франшизы выбрать в 2021 году, учитывая рынок ЯНАО?
- Как не потерять деньги при выборе франшизы?
- Какие вопросы задать владельцу франшизы? 
- Где искать франшизу? Обзор франчайзинговых площадок
- Каким критериям должна соответствовать франшиза в сфере общественного питания? 
- Подробно о составе франчайзингового пакета: договор, брендбук, стандарты и регламенты
</v>
      </c>
    </row>
    <row r="439" spans="1:4" ht="25.5" x14ac:dyDescent="0.2">
      <c r="A439" s="1"/>
      <c r="B439" s="4"/>
      <c r="C439" s="4" t="str">
        <f ca="1">IFERROR(__xludf.DUMMYFUNCTION("""COMPUTED_VALUE"""),"Процедуры безопасности, основанные на принципах ХАССП")</f>
        <v>Процедуры безопасности, основанные на принципах ХАССП</v>
      </c>
      <c r="D439" s="1" t="str">
        <f ca="1">IFERROR(__xludf.DUMMYFUNCTION("""COMPUTED_VALUE"""),"- Мифы и ошибки при разработке процедур ХАССП в общественном питании. Как их не допустить
- Как и на сколько штрафуют за отсутствие ХАССП в общественном питании
- Судебная практика по проверкам ХАССП
- Варианты разработки и снижения стоимости внедрения пр"&amp;"оцедур ХАССП
")</f>
        <v xml:space="preserve">- Мифы и ошибки при разработке процедур ХАССП в общественном питании. Как их не допустить
- Как и на сколько штрафуют за отсутствие ХАССП в общественном питании
- Судебная практика по проверкам ХАССП
- Варианты разработки и снижения стоимости внедрения процедур ХАССП
</v>
      </c>
    </row>
    <row r="440" spans="1:4" ht="38.25" x14ac:dyDescent="0.2">
      <c r="A440" s="1"/>
      <c r="B440" s="4"/>
      <c r="C440" s="4" t="str">
        <f ca="1">IFERROR(__xludf.DUMMYFUNCTION("""COMPUTED_VALUE"""),"Топ-10 ошибок при подготовке к проверке Роспотребнадзора
")</f>
        <v xml:space="preserve">Топ-10 ошибок при подготовке к проверке Роспотребнадзора
</v>
      </c>
      <c r="D440" s="1" t="str">
        <f ca="1">IFERROR(__xludf.DUMMYFUNCTION("""COMPUTED_VALUE"""),"- Как часто и кого будет проверять Роспотребнадзор в 2021 году
- 10 типовых ошибок и нарушений в общественном питании. Как их не допустить
- Практические рекомендации по подготовке объектов общественного питания к проверкам
- Инструкция для тех, кого еще "&amp;"не проверяли. Как вести себя при проверках
")</f>
        <v xml:space="preserve">- Как часто и кого будет проверять Роспотребнадзор в 2021 году
- 10 типовых ошибок и нарушений в общественном питании. Как их не допустить
- Практические рекомендации по подготовке объектов общественного питания к проверкам
- Инструкция для тех, кого еще не проверяли. Как вести себя при проверках
</v>
      </c>
    </row>
    <row r="441" spans="1:4" ht="12.75" x14ac:dyDescent="0.2">
      <c r="A441" s="1"/>
      <c r="B441" s="4"/>
      <c r="C441" s="4" t="str">
        <f ca="1">IFERROR(__xludf.DUMMYFUNCTION("""COMPUTED_VALUE"""),"Аудит ресторана")</f>
        <v>Аудит ресторана</v>
      </c>
      <c r="D441" s="1" t="str">
        <f ca="1">IFERROR(__xludf.DUMMYFUNCTION("""COMPUTED_VALUE"""),"- Деление участников на пары: каждый участник до следующего занятия проводит «наблюдение» за заведением другого участника программы
- Анализ отзывов рынка и составление колеса сервиса
- Формирование чек-листа для наблюдений
- Customer journey map – взгляд"&amp;" руководителя на свой бизнес. Составление карты от лица руководителя
")</f>
        <v xml:space="preserve">- Деление участников на пары: каждый участник до следующего занятия проводит «наблюдение» за заведением другого участника программы
- Анализ отзывов рынка и составление колеса сервиса
- Формирование чек-листа для наблюдений
- Customer journey map – взгляд руководителя на свой бизнес. Составление карты от лица руководителя
</v>
      </c>
    </row>
    <row r="442" spans="1:4" ht="25.5" x14ac:dyDescent="0.2">
      <c r="A442" s="1"/>
      <c r="B442" s="4"/>
      <c r="C442" s="4" t="str">
        <f ca="1">IFERROR(__xludf.DUMMYFUNCTION("""COMPUTED_VALUE"""),"Стандарты, правила и методы обслуживания")</f>
        <v>Стандарты, правила и методы обслуживания</v>
      </c>
      <c r="D442" s="1" t="str">
        <f ca="1">IFERROR(__xludf.DUMMYFUNCTION("""COMPUTED_VALUE"""),"[Расширенная тема для собственников и сотрудников заведения]
- Участники делятся проведенными наблюдениями
- Создание модели сервиса и понимание важности этого процесса для всей команды
- Формирование нового customer journey map, учитывая наблюдения
- Вы"&amp;"страивание плана по улучшению заведения, поиск новых идей
- Развитие эмпатии у руководителей и сотрудников по отношению к гостю 
- Создание условий для осознания и понимания своего отношения к гостю, как основы качественного сервиса
")</f>
        <v xml:space="preserve">[Расширенная тема для собственников и сотрудников заведения]
- Участники делятся проведенными наблюдениями
- Создание модели сервиса и понимание важности этого процесса для всей команды
- Формирование нового customer journey map, учитывая наблюдения
- Выстраивание плана по улучшению заведения, поиск новых идей
- Развитие эмпатии у руководителей и сотрудников по отношению к гостю 
- Создание условий для осознания и понимания своего отношения к гостю, как основы качественного сервиса
</v>
      </c>
    </row>
    <row r="443" spans="1:4" ht="25.5" x14ac:dyDescent="0.2">
      <c r="A443" s="1"/>
      <c r="B443" s="4"/>
      <c r="C443" s="4" t="str">
        <f ca="1">IFERROR(__xludf.DUMMYFUNCTION("""COMPUTED_VALUE"""),"Эффективный маркетинг с минимальным бюджетом")</f>
        <v>Эффективный маркетинг с минимальным бюджетом</v>
      </c>
      <c r="D443" s="1" t="str">
        <f ca="1">IFERROR(__xludf.DUMMYFUNCTION("""COMPUTED_VALUE"""),"- Как правильно упаковать концепцию проекта
- УТП: важность, виды, создание и реализация
- Герои проекта и их роль в успехе бизнеса
- Точки контакта и эффективная работа с ними
- Управление лояльностью гостя
- Ресторан как сообщество: создание и продвижен"&amp;"ие")</f>
        <v>- Как правильно упаковать концепцию проекта
- УТП: важность, виды, создание и реализация
- Герои проекта и их роль в успехе бизнеса
- Точки контакта и эффективная работа с ними
- Управление лояльностью гостя
- Ресторан как сообщество: создание и продвижение</v>
      </c>
    </row>
    <row r="444" spans="1:4" ht="12.75" x14ac:dyDescent="0.2">
      <c r="A444" s="1"/>
      <c r="B444" s="4"/>
      <c r="C444" s="4" t="str">
        <f ca="1">IFERROR(__xludf.DUMMYFUNCTION("""COMPUTED_VALUE"""),"Программы лояльности")</f>
        <v>Программы лояльности</v>
      </c>
      <c r="D444" s="1" t="str">
        <f ca="1">IFERROR(__xludf.DUMMYFUNCTION("""COMPUTED_VALUE"""),"- Подробный разбор 8-ми основных программ лояльности для общественного питания
- Скидка VS бонусная система, что выбрать?
- Создание уникального конструктора взаимоотношений вашего предприятия с клиентом
")</f>
        <v xml:space="preserve">- Подробный разбор 8-ми основных программ лояльности для общественного питания
- Скидка VS бонусная система, что выбрать?
- Создание уникального конструктора взаимоотношений вашего предприятия с клиентом
</v>
      </c>
    </row>
    <row r="445" spans="1:4" ht="12.75" x14ac:dyDescent="0.2">
      <c r="A445" s="1"/>
      <c r="B445" s="4"/>
      <c r="C445" s="4" t="str">
        <f ca="1">IFERROR(__xludf.DUMMYFUNCTION("""COMPUTED_VALUE"""),"Найм и мотивация сотрудников")</f>
        <v>Найм и мотивация сотрудников</v>
      </c>
      <c r="D445" s="1" t="str">
        <f ca="1">IFERROR(__xludf.DUMMYFUNCTION("""COMPUTED_VALUE"""),"- Чек-лист ""Эффективная организация подбора персонала""
- 7 Критических ошибок в формировании команды
- Анализ рынка труда
- Анализ потребности в сотруднике
- Алгоритм анализа нагрузки. Нормативы нагрузки
- Секреты составления работающей вакансии. Типовы"&amp;"е ошибки. Разбор примеров
- Выводим сотрудника на результат по технологии ""Канбан"". План адаптации
- Методы увеличения потоков кандидатов
- Читаем резюме между строк. Техника ""Слова в резюме""
- Способы проверки компетенции кандидата
- Типы мотивации п"&amp;"о системе Ольги Паратновой
- Поколение Z. Особенности сотрудничества")</f>
        <v>- Чек-лист "Эффективная организация подбора персонала"
- 7 Критических ошибок в формировании команды
- Анализ рынка труда
- Анализ потребности в сотруднике
- Алгоритм анализа нагрузки. Нормативы нагрузки
- Секреты составления работающей вакансии. Типовые ошибки. Разбор примеров
- Выводим сотрудника на результат по технологии "Канбан". План адаптации
- Методы увеличения потоков кандидатов
- Читаем резюме между строк. Техника "Слова в резюме"
- Способы проверки компетенции кандидата
- Типы мотивации по системе Ольги Паратновой
- Поколение Z. Особенности сотрудничества</v>
      </c>
    </row>
    <row r="446" spans="1:4" ht="25.5" x14ac:dyDescent="0.2">
      <c r="A446" s="1"/>
      <c r="B446" s="4"/>
      <c r="C446" s="4" t="str">
        <f ca="1">IFERROR(__xludf.DUMMYFUNCTION("""COMPUTED_VALUE"""),"Привлечение финансирования в бизнес")</f>
        <v>Привлечение финансирования в бизнес</v>
      </c>
      <c r="D446" s="1" t="str">
        <f ca="1">IFERROR(__xludf.DUMMYFUNCTION("""COMPUTED_VALUE"""),"- На каких этапах может потребоваться привлечение внешнего финансирования? 
- Проведение внутреннего аудита для готовности бизнеса к привлечению внешнего финансирования 
- Способы оценки привлекательности вашего бизнеса в качестве объекта инвестирования 
"&amp;"- Типы и инструменты привлечения дополнительных денежных средств 
- Особенности коммуникации с потенциальными инвесторами 
- Виды государственной поддержки бизнеса")</f>
        <v>- На каких этапах может потребоваться привлечение внешнего финансирования? 
- Проведение внутреннего аудита для готовности бизнеса к привлечению внешнего финансирования 
- Способы оценки привлекательности вашего бизнеса в качестве объекта инвестирования 
- Типы и инструменты привлечения дополнительных денежных средств 
- Особенности коммуникации с потенциальными инвесторами 
- Виды государственной поддержки бизнеса</v>
      </c>
    </row>
    <row r="447" spans="1:4" ht="12.75" x14ac:dyDescent="0.2">
      <c r="A447" s="1"/>
      <c r="B447" s="4"/>
      <c r="C447" s="4" t="str">
        <f ca="1">IFERROR(__xludf.DUMMYFUNCTION("""COMPUTED_VALUE"""),"Управление финансами")</f>
        <v>Управление финансами</v>
      </c>
      <c r="D447" s="1" t="str">
        <f ca="1">IFERROR(__xludf.DUMMYFUNCTION("""COMPUTED_VALUE"""),"- Финансовая политика ресторанного бизнеса
- Бюджет и отчет движения денежных средств ресторана, который исключает кассовые разрывы. Управленческий балан
- Методы ценообразования в ресторане; Конкуренция цен в меню
- Анализ структуры закупок - abc анализ
"&amp;"- Управленческий отчет о прибылях и убытках. Оценка эффективности бизнеса 
")</f>
        <v xml:space="preserve">- Финансовая политика ресторанного бизнеса
- Бюджет и отчет движения денежных средств ресторана, который исключает кассовые разрывы. Управленческий балан
- Методы ценообразования в ресторане; Конкуренция цен в меню
- Анализ структуры закупок - abc анализ
- Управленческий отчет о прибылях и убытках. Оценка эффективности бизнеса 
</v>
      </c>
    </row>
    <row r="448" spans="1:4" ht="38.25" x14ac:dyDescent="0.2">
      <c r="A448" s="1"/>
      <c r="B448" s="4"/>
      <c r="C448" s="4" t="str">
        <f ca="1">IFERROR(__xludf.DUMMYFUNCTION("""COMPUTED_VALUE"""),"Ресторан — как комплекс услуг на примере ресторанного комплекса ""Экспедиция""")</f>
        <v>Ресторан — как комплекс услуг на примере ресторанного комплекса "Экспедиция"</v>
      </c>
      <c r="D448" s="1" t="str">
        <f ca="1">IFERROR(__xludf.DUMMYFUNCTION("""COMPUTED_VALUE"""),"- Точки расширения прибыли
- Команда
- Расчёт экономики для владельца и дивиденды
- Незатратное продвижение
- Лучшие кейсы в стране и мире")</f>
        <v>- Точки расширения прибыли
- Команда
- Расчёт экономики для владельца и дивиденды
- Незатратное продвижение
- Лучшие кейсы в стране и мире</v>
      </c>
    </row>
    <row r="449" spans="1:4" ht="25.5" x14ac:dyDescent="0.2">
      <c r="A449" s="1"/>
      <c r="B449" s="4"/>
      <c r="C449" s="4" t="str">
        <f ca="1">IFERROR(__xludf.DUMMYFUNCTION("""COMPUTED_VALUE"""),"Маркетинг: спасение или наказание ресторана?")</f>
        <v>Маркетинг: спасение или наказание ресторана?</v>
      </c>
      <c r="D449" s="1" t="str">
        <f ca="1">IFERROR(__xludf.DUMMYFUNCTION("""COMPUTED_VALUE"""),"- Стратегия: смотрим в будущее 
- Кто мой гость? Способы определения «своих» гостей 
- Поводы заработать больше: пути масштабирования бизнеса  
- Команда ресторана, как канал продаж
- Каналы продвижения: что нужно именно вам?")</f>
        <v>- Стратегия: смотрим в будущее 
- Кто мой гость? Способы определения «своих» гостей 
- Поводы заработать больше: пути масштабирования бизнеса  
- Команда ресторана, как канал продаж
- Каналы продвижения: что нужно именно вам?</v>
      </c>
    </row>
    <row r="450" spans="1:4" ht="12.75" x14ac:dyDescent="0.2">
      <c r="A450" s="1"/>
      <c r="B450" s="4" t="str">
        <f ca="1">IFERROR(__xludf.DUMMYFUNCTION("""COMPUTED_VALUE"""),"Бизнес как спорт ")</f>
        <v xml:space="preserve">Бизнес как спорт </v>
      </c>
      <c r="C450" s="4" t="str">
        <f ca="1">IFERROR(__xludf.DUMMYFUNCTION("""COMPUTED_VALUE"""),"Диверсификация бизнеса ")</f>
        <v xml:space="preserve">Диверсификация бизнеса </v>
      </c>
      <c r="D450" s="1" t="str">
        <f ca="1">IFERROR(__xludf.DUMMYFUNCTION("""COMPUTED_VALUE"""),"- Разнообразие товара
- Когда нужна диверсификация бизнеса?
- Типы стратегий ")</f>
        <v xml:space="preserve">- Разнообразие товара
- Когда нужна диверсификация бизнеса?
- Типы стратегий </v>
      </c>
    </row>
    <row r="451" spans="1:4" ht="25.5" x14ac:dyDescent="0.2">
      <c r="A451" s="1"/>
      <c r="B451" s="4" t="str">
        <f ca="1">IFERROR(__xludf.DUMMYFUNCTION("""COMPUTED_VALUE"""),"Бизнес как спорт ")</f>
        <v xml:space="preserve">Бизнес как спорт </v>
      </c>
      <c r="C451" s="4" t="str">
        <f ca="1">IFERROR(__xludf.DUMMYFUNCTION("""COMPUTED_VALUE"""),"Тренировка с I LOVE SUPERSPORT")</f>
        <v>Тренировка с I LOVE SUPERSPORT</v>
      </c>
      <c r="D451" s="1" t="str">
        <f ca="1">IFERROR(__xludf.DUMMYFUNCTION("""COMPUTED_VALUE"""),"Групповая командная тренировка: как начать бегать правильно?")</f>
        <v>Групповая командная тренировка: как начать бегать правильно?</v>
      </c>
    </row>
    <row r="452" spans="1:4" ht="12.75" x14ac:dyDescent="0.2">
      <c r="A452" s="1"/>
      <c r="B452" s="4" t="str">
        <f ca="1">IFERROR(__xludf.DUMMYFUNCTION("""COMPUTED_VALUE"""),"Бизнес как спорт ")</f>
        <v xml:space="preserve">Бизнес как спорт </v>
      </c>
      <c r="C452" s="4" t="str">
        <f ca="1">IFERROR(__xludf.DUMMYFUNCTION("""COMPUTED_VALUE"""),"Самостоятельная тренировка")</f>
        <v>Самостоятельная тренировка</v>
      </c>
      <c r="D452" s="1" t="str">
        <f ca="1">IFERROR(__xludf.DUMMYFUNCTION("""COMPUTED_VALUE"""),"Самостоятельная тренировка: первый самостоятельный кросс")</f>
        <v>Самостоятельная тренировка: первый самостоятельный кросс</v>
      </c>
    </row>
    <row r="453" spans="1:4" ht="25.5" x14ac:dyDescent="0.2">
      <c r="A453" s="1"/>
      <c r="B453" s="4" t="str">
        <f ca="1">IFERROR(__xludf.DUMMYFUNCTION("""COMPUTED_VALUE"""),"Бизнес как спорт ")</f>
        <v xml:space="preserve">Бизнес как спорт </v>
      </c>
      <c r="C453" s="4" t="str">
        <f ca="1">IFERROR(__xludf.DUMMYFUNCTION("""COMPUTED_VALUE"""),"Как сделать результат х2 за счет самодисциплины")</f>
        <v>Как сделать результат х2 за счет самодисциплины</v>
      </c>
      <c r="D453" s="1" t="str">
        <f ca="1">IFERROR(__xludf.DUMMYFUNCTION("""COMPUTED_VALUE"""),"- Зачем нужна стратегия будущего?
- В чем секрет формулы развития лидера и его бизнеса?
- Что такое самодисциплина и почему она является обязательным условием для достижения поставленных целей и успеха?
- Секрет: «С чего начинается самодисциплина?»
- Каки"&amp;"е навыки необходимо развивать лидеру?
- ТОП-компетенций современного лидера")</f>
        <v>- Зачем нужна стратегия будущего?
- В чем секрет формулы развития лидера и его бизнеса?
- Что такое самодисциплина и почему она является обязательным условием для достижения поставленных целей и успеха?
- Секрет: «С чего начинается самодисциплина?»
- Какие навыки необходимо развивать лидеру?
- ТОП-компетенций современного лидера</v>
      </c>
    </row>
    <row r="454" spans="1:4" ht="12.75" x14ac:dyDescent="0.2">
      <c r="A454" s="1"/>
      <c r="B454" s="4" t="str">
        <f ca="1">IFERROR(__xludf.DUMMYFUNCTION("""COMPUTED_VALUE"""),"Бизнес как спорт ")</f>
        <v xml:space="preserve">Бизнес как спорт </v>
      </c>
      <c r="C454" s="4" t="str">
        <f ca="1">IFERROR(__xludf.DUMMYFUNCTION("""COMPUTED_VALUE"""),"Бизнес как спорт ")</f>
        <v xml:space="preserve">Бизнес как спорт </v>
      </c>
      <c r="D454" s="1" t="str">
        <f ca="1">IFERROR(__xludf.DUMMYFUNCTION("""COMPUTED_VALUE"""),"- Как хобби может быть основой для личного развития, источником вдохновения и мотивации?
- Колесо жизненного баланса 
- «Массовый спорт» как тренд, хобби и бизнес
- Мотивация и целеполагание
- Правила в спорте, которые можно применить в бизнесе для достиж"&amp;"ения целей")</f>
        <v>- Как хобби может быть основой для личного развития, источником вдохновения и мотивации?
- Колесо жизненного баланса 
- «Массовый спорт» как тренд, хобби и бизнес
- Мотивация и целеполагание
- Правила в спорте, которые можно применить в бизнесе для достижения целей</v>
      </c>
    </row>
    <row r="455" spans="1:4" ht="38.25" x14ac:dyDescent="0.2">
      <c r="A455" s="1"/>
      <c r="B455" s="4" t="str">
        <f ca="1">IFERROR(__xludf.DUMMYFUNCTION("""COMPUTED_VALUE"""),"Бизнес как спорт ")</f>
        <v xml:space="preserve">Бизнес как спорт </v>
      </c>
      <c r="C455" s="4" t="str">
        <f ca="1">IFERROR(__xludf.DUMMYFUNCTION("""COMPUTED_VALUE"""),"Маркетинг. Сайты. Конверсия. Как получать заявки и продажи через интернет")</f>
        <v>Маркетинг. Сайты. Конверсия. Как получать заявки и продажи через интернет</v>
      </c>
      <c r="D455" s="1" t="str">
        <f ca="1">IFERROR(__xludf.DUMMYFUNCTION("""COMPUTED_VALUE"""),"-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р"&amp;"екламы?
- Разбор быстрых схем привлечения клиентов за 1 день")</f>
        <v>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рекламы?
- Разбор быстрых схем привлечения клиентов за 1 день</v>
      </c>
    </row>
    <row r="456" spans="1:4" ht="25.5" x14ac:dyDescent="0.2">
      <c r="A456" s="1"/>
      <c r="B456" s="4" t="str">
        <f ca="1">IFERROR(__xludf.DUMMYFUNCTION("""COMPUTED_VALUE"""),"Бизнес как спорт ")</f>
        <v xml:space="preserve">Бизнес как спорт </v>
      </c>
      <c r="C456" s="4" t="str">
        <f ca="1">IFERROR(__xludf.DUMMYFUNCTION("""COMPUTED_VALUE"""),"Тренировка с I LOVE SUPERSPORT")</f>
        <v>Тренировка с I LOVE SUPERSPORT</v>
      </c>
      <c r="D456" s="1" t="str">
        <f ca="1">IFERROR(__xludf.DUMMYFUNCTION("""COMPUTED_VALUE"""),"Групповая командная тренировка: специальные беговые упражнения")</f>
        <v>Групповая командная тренировка: специальные беговые упражнения</v>
      </c>
    </row>
    <row r="457" spans="1:4" ht="38.25" x14ac:dyDescent="0.2">
      <c r="A457" s="1"/>
      <c r="B457" s="4" t="str">
        <f ca="1">IFERROR(__xludf.DUMMYFUNCTION("""COMPUTED_VALUE"""),"Бизнес как спорт ")</f>
        <v xml:space="preserve">Бизнес как спорт </v>
      </c>
      <c r="C457" s="4" t="str">
        <f ca="1">IFERROR(__xludf.DUMMYFUNCTION("""COMPUTED_VALUE"""),"Построение автоматизированных продаж. CRM, автоворонки и чат-боты")</f>
        <v>Построение автоматизированных продаж. CRM, автоворонки и чат-боты</v>
      </c>
      <c r="D457" s="1" t="str">
        <f ca="1">IFERROR(__xludf.DUMMYFUNCTION("""COMPUTED_VALUE"""),"- Основные задачи, которые призвана решить CRM-система
- Какие инструменты CRM способствуют увеличению продаж?
- Обзор CRM-системы. Основные инструменты и характеристики
- Как правильно выбрать CRM-систему и не допустить ошибок в процессе внедрения?
- Как"&amp;" продумать путь клиента и создать соответствующие этапы воронки продаж?
- Кейсы автоматизации продаж и обработки заказов")</f>
        <v>- Основные задачи, которые призвана решить CRM-система
- Какие инструменты CRM способствуют увеличению продаж?
- Обзор CRM-системы. Основные инструменты и характеристики
- Как правильно выбрать CRM-систему и не допустить ошибок в процессе внедрения?
- Как продумать путь клиента и создать соответствующие этапы воронки продаж?
- Кейсы автоматизации продаж и обработки заказов</v>
      </c>
    </row>
    <row r="458" spans="1:4" ht="12.75" x14ac:dyDescent="0.2">
      <c r="A458" s="1"/>
      <c r="B458" s="4" t="str">
        <f ca="1">IFERROR(__xludf.DUMMYFUNCTION("""COMPUTED_VALUE"""),"Бизнес как спорт ")</f>
        <v xml:space="preserve">Бизнес как спорт </v>
      </c>
      <c r="C458" s="4" t="str">
        <f ca="1">IFERROR(__xludf.DUMMYFUNCTION("""COMPUTED_VALUE"""),"Бизнес как система ")</f>
        <v xml:space="preserve">Бизнес как система </v>
      </c>
      <c r="D458" s="1" t="str">
        <f ca="1">IFERROR(__xludf.DUMMYFUNCTION("""COMPUTED_VALUE"""),"- Как получать от бизнеса дивиденды не по остаточному принципу, а регулярно
- Почему владельцы не всегда могут посчитать чистую прибыль компании и как это исправить
- Как избежать хаоса в финансах компании
- Как раз и навсегда перестать докладывать в комп"&amp;"анию свои собственные деньги
- Схема при которой воровство и перерасходы сотрудниками будет почти невозможным
- Как не запутаться в показателях и всегда быть в курсе положения вещей в компании")</f>
        <v>- Как получать от бизнеса дивиденды не по остаточному принципу, а регулярно
- Почему владельцы не всегда могут посчитать чистую прибыль компании и как это исправить
- Как избежать хаоса в финансах компании
- Как раз и навсегда перестать докладывать в компанию свои собственные деньги
- Схема при которой воровство и перерасходы сотрудниками будет почти невозможным
- Как не запутаться в показателях и всегда быть в курсе положения вещей в компании</v>
      </c>
    </row>
    <row r="459" spans="1:4" ht="25.5" x14ac:dyDescent="0.2">
      <c r="A459" s="1"/>
      <c r="B459" s="4" t="str">
        <f ca="1">IFERROR(__xludf.DUMMYFUNCTION("""COMPUTED_VALUE"""),"Бизнес как спорт ")</f>
        <v xml:space="preserve">Бизнес как спорт </v>
      </c>
      <c r="C459" s="4" t="str">
        <f ca="1">IFERROR(__xludf.DUMMYFUNCTION("""COMPUTED_VALUE"""),"Тренировка с I LOVE SUPERSPORT")</f>
        <v>Тренировка с I LOVE SUPERSPORT</v>
      </c>
      <c r="D459" s="1" t="str">
        <f ca="1">IFERROR(__xludf.DUMMYFUNCTION("""COMPUTED_VALUE"""),"Групповая командная тренировка: интервальная тренировка")</f>
        <v>Групповая командная тренировка: интервальная тренировка</v>
      </c>
    </row>
    <row r="460" spans="1:4" ht="12.75" x14ac:dyDescent="0.2">
      <c r="A460" s="1"/>
      <c r="B460" s="4" t="str">
        <f ca="1">IFERROR(__xludf.DUMMYFUNCTION("""COMPUTED_VALUE"""),"Бизнес как спорт ")</f>
        <v xml:space="preserve">Бизнес как спорт </v>
      </c>
      <c r="C460" s="4" t="str">
        <f ca="1">IFERROR(__xludf.DUMMYFUNCTION("""COMPUTED_VALUE"""),"Самостоятельная тренировка")</f>
        <v>Самостоятельная тренировка</v>
      </c>
      <c r="D460" s="1" t="str">
        <f ca="1">IFERROR(__xludf.DUMMYFUNCTION("""COMPUTED_VALUE"""),"Самостоятельная тренировка: бежим вместе!")</f>
        <v>Самостоятельная тренировка: бежим вместе!</v>
      </c>
    </row>
    <row r="461" spans="1:4" ht="12.75" x14ac:dyDescent="0.2">
      <c r="A461" s="1"/>
      <c r="B461" s="4" t="str">
        <f ca="1">IFERROR(__xludf.DUMMYFUNCTION("""COMPUTED_VALUE"""),"Бизнес как спорт ")</f>
        <v xml:space="preserve">Бизнес как спорт </v>
      </c>
      <c r="C461" s="4" t="str">
        <f ca="1">IFERROR(__xludf.DUMMYFUNCTION("""COMPUTED_VALUE"""),"Инвестиции и партнеры ")</f>
        <v xml:space="preserve">Инвестиции и партнеры </v>
      </c>
      <c r="D461" s="1" t="str">
        <f ca="1">IFERROR(__xludf.DUMMYFUNCTION("""COMPUTED_VALUE"""),"- Каким требованиям должны соответствовать проект и команда, чтобы быть интересными для инвесторов.
- Где найти инвесторов для своего проекта?
- Как составить предложение для инвесторов?
- Как упаковать новый или действующий проект для привлечения инвесто"&amp;"ров?
- На каких условиях можно привлечь деньги от инвесторов? 
- Инвестиции: стоит ли брать деньги у инвесторов?")</f>
        <v>- Каким требованиям должны соответствовать проект и команда, чтобы быть интересными для инвесторов.
- Где найти инвесторов для своего проекта?
- Как составить предложение для инвесторов?
- Как упаковать новый или действующий проект для привлечения инвесторов?
- На каких условиях можно привлечь деньги от инвесторов? 
- Инвестиции: стоит ли брать деньги у инвесторов?</v>
      </c>
    </row>
    <row r="462" spans="1:4" ht="25.5" x14ac:dyDescent="0.2">
      <c r="A462" s="1"/>
      <c r="B462" s="4" t="str">
        <f ca="1">IFERROR(__xludf.DUMMYFUNCTION("""COMPUTED_VALUE"""),"Бизнес как спорт ")</f>
        <v xml:space="preserve">Бизнес как спорт </v>
      </c>
      <c r="C462" s="4" t="str">
        <f ca="1">IFERROR(__xludf.DUMMYFUNCTION("""COMPUTED_VALUE"""),"5 практических способов увеличить продажи в компании")</f>
        <v>5 практических способов увеличить продажи в компании</v>
      </c>
      <c r="D462" s="1" t="str">
        <f ca="1">IFERROR(__xludf.DUMMYFUNCTION("""COMPUTED_VALUE"""),"- Три кита продаж – что нужно знать, чтобы управлять
процессом, а не быть его заложником.
- Как структурировать клиентскую базу, зачем она
нужна и как получить от нее максимальную прибыль.
- Зачем нужна продуктовая матрица и почему один
моно-товар – это п"&amp;"лохо, что нужно сделать, чтобы в
разы увеличить средний чек.
- Фишки работы с воронкой продаж – поймем, где
теряются клиенты, и узнаем, как их возвращать.
- Как за счет 5 простых действий увеличить продажи.")</f>
        <v>- Три кита продаж – что нужно знать, чтобы управлять
процессом, а не быть его заложником.
- Как структурировать клиентскую базу, зачем она
нужна и как получить от нее максимальную прибыль.
- Зачем нужна продуктовая матрица и почему один
моно-товар – это плохо, что нужно сделать, чтобы в
разы увеличить средний чек.
- Фишки работы с воронкой продаж – поймем, где
теряются клиенты, и узнаем, как их возвращать.
- Как за счет 5 простых действий увеличить продажи.</v>
      </c>
    </row>
    <row r="463" spans="1:4" ht="25.5" x14ac:dyDescent="0.2">
      <c r="A463" s="1"/>
      <c r="B463" s="4" t="str">
        <f ca="1">IFERROR(__xludf.DUMMYFUNCTION("""COMPUTED_VALUE"""),"Бизнес как спорт ")</f>
        <v xml:space="preserve">Бизнес как спорт </v>
      </c>
      <c r="C463" s="4" t="str">
        <f ca="1">IFERROR(__xludf.DUMMYFUNCTION("""COMPUTED_VALUE"""),"Тренировка с I LOVE SUPERSPORT")</f>
        <v>Тренировка с I LOVE SUPERSPORT</v>
      </c>
      <c r="D463" s="1" t="str">
        <f ca="1">IFERROR(__xludf.DUMMYFUNCTION("""COMPUTED_VALUE"""),"Групповая командная тренировка: будь лучшим, беги первым")</f>
        <v>Групповая командная тренировка: будь лучшим, беги первым</v>
      </c>
    </row>
    <row r="464" spans="1:4" ht="25.5" x14ac:dyDescent="0.2">
      <c r="A464" s="1"/>
      <c r="B464" s="4" t="str">
        <f ca="1">IFERROR(__xludf.DUMMYFUNCTION("""COMPUTED_VALUE"""),"Бизнес как спорт ")</f>
        <v xml:space="preserve">Бизнес как спорт </v>
      </c>
      <c r="C464" s="4" t="str">
        <f ca="1">IFERROR(__xludf.DUMMYFUNCTION("""COMPUTED_VALUE"""),"Технологии масштабирования бизнеса ")</f>
        <v xml:space="preserve">Технологии масштабирования бизнеса </v>
      </c>
      <c r="D464" s="1" t="str">
        <f ca="1">IFERROR(__xludf.DUMMYFUNCTION("""COMPUTED_VALUE"""),"- Способы масштабирования бизнеса и особенности масштабирования для разных типов бизнеса
- Технология упаковки бизнеса
- Юридическая основа масштабирования
- Создание рычагов управления при упаковке
- Особенности сетевого управления
- Продвижение бизнеса "&amp;"при масштабировании")</f>
        <v>- Способы масштабирования бизнеса и особенности масштабирования для разных типов бизнеса
- Технология упаковки бизнеса
- Юридическая основа масштабирования
- Создание рычагов управления при упаковке
- Особенности сетевого управления
- Продвижение бизнеса при масштабировании</v>
      </c>
    </row>
    <row r="465" spans="1:4" ht="12.75" x14ac:dyDescent="0.2">
      <c r="A465" s="1"/>
      <c r="B465" s="4" t="str">
        <f ca="1">IFERROR(__xludf.DUMMYFUNCTION("""COMPUTED_VALUE"""),"Бизнес как спорт ")</f>
        <v xml:space="preserve">Бизнес как спорт </v>
      </c>
      <c r="C465" s="4" t="str">
        <f ca="1">IFERROR(__xludf.DUMMYFUNCTION("""COMPUTED_VALUE"""),"Марафон")</f>
        <v>Марафон</v>
      </c>
      <c r="D465" s="1" t="str">
        <f ca="1">IFERROR(__xludf.DUMMYFUNCTION("""COMPUTED_VALUE"""),"Итоговый марафон на 5 км ""LOVE RUN""")</f>
        <v>Итоговый марафон на 5 км "LOVE RUN"</v>
      </c>
    </row>
    <row r="466" spans="1:4" ht="38.25" x14ac:dyDescent="0.2">
      <c r="A466" s="1"/>
      <c r="B466" s="4" t="str">
        <f ca="1">IFERROR(__xludf.DUMMYFUNCTION("""COMPUTED_VALUE"""),"Бизнес как спорт ")</f>
        <v xml:space="preserve">Бизнес как спорт </v>
      </c>
      <c r="C466" s="4" t="str">
        <f ca="1">IFERROR(__xludf.DUMMYFUNCTION("""COMPUTED_VALUE"""),"На что рассчитывать самозанятым. Новые возможности в 2021 году")</f>
        <v>На что рассчитывать самозанятым. Новые возможности в 2021 году</v>
      </c>
      <c r="D466" s="1" t="str">
        <f ca="1">IFERROR(__xludf.DUMMYFUNCTION("""COMPUTED_VALUE"""),"- Почему боятся стать самозанятым?
- Подробно о налоговых ставках 
- Для кого актуально стать самозанятым
- Чем нельзя заниматься самозанятым
- Какие преимущества дает самозанятость
- 10 самых частых вопросов о самозанятости")</f>
        <v>- Почему боятся стать самозанятым?
- Подробно о налоговых ставках 
- Для кого актуально стать самозанятым
- Чем нельзя заниматься самозанятым
- Какие преимущества дает самозанятость
- 10 самых частых вопросов о самозанятости</v>
      </c>
    </row>
    <row r="467" spans="1:4" ht="25.5" x14ac:dyDescent="0.2">
      <c r="A467" s="1"/>
      <c r="B467" s="4"/>
      <c r="C467" s="4" t="str">
        <f ca="1">IFERROR(__xludf.DUMMYFUNCTION("""COMPUTED_VALUE"""),"Маркетинговая стратегия и упаковка бизнеса ")</f>
        <v xml:space="preserve">Маркетинговая стратегия и упаковка бизнеса </v>
      </c>
      <c r="D467" s="1" t="str">
        <f ca="1">IFERROR(__xludf.DUMMYFUNCTION("""COMPUTED_VALUE"""),"- Ключевые показатели в бизнесе: заявки (лиды), средний чек, продажи, конверсия
- Как провести анализ конкурентов
- Как строить воронку продаж
- Как упаковать свой бизнес и что включает в себя упаковка
- Какие есть бесплатные каналы и площадки привлечения"&amp;" клиентов")</f>
        <v>- Ключевые показатели в бизнесе: заявки (лиды), средний чек, продажи, конверсия
- Как провести анализ конкурентов
- Как строить воронку продаж
- Как упаковать свой бизнес и что включает в себя упаковка
- Какие есть бесплатные каналы и площадки привлечения клиентов</v>
      </c>
    </row>
    <row r="468" spans="1:4" ht="12.75" x14ac:dyDescent="0.2">
      <c r="A468" s="1"/>
      <c r="B468" s="4" t="str">
        <f ca="1">IFERROR(__xludf.DUMMYFUNCTION("""COMPUTED_VALUE"""),"темы не в рамках программ")</f>
        <v>темы не в рамках программ</v>
      </c>
      <c r="C468" s="4" t="str">
        <f ca="1">IFERROR(__xludf.DUMMYFUNCTION("""COMPUTED_VALUE"""),"Продажи по высокой цене")</f>
        <v>Продажи по высокой цене</v>
      </c>
      <c r="D468" s="1" t="str">
        <f ca="1">IFERROR(__xludf.DUMMYFUNCTION("""COMPUTED_VALUE"""),"- Как заговорить на языке выгод: техника FAB
- Презентация с помощью страха
- Техника продаж ЦИРК и ТАНКИ
- Эмоциональные продажи: 5типов клиентов с разными кнопками
- Техника «4 почему»
- Секретная техника продаж")</f>
        <v>- Как заговорить на языке выгод: техника FAB
- Презентация с помощью страха
- Техника продаж ЦИРК и ТАНКИ
- Эмоциональные продажи: 5типов клиентов с разными кнопками
- Техника «4 почему»
- Секретная техника продаж</v>
      </c>
    </row>
    <row r="469" spans="1:4" ht="25.5" x14ac:dyDescent="0.2">
      <c r="A469" s="1"/>
      <c r="B469" s="4" t="str">
        <f ca="1">IFERROR(__xludf.DUMMYFUNCTION("""COMPUTED_VALUE"""),"темы не в рамках программ")</f>
        <v>темы не в рамках программ</v>
      </c>
      <c r="C469" s="4" t="str">
        <f ca="1">IFERROR(__xludf.DUMMYFUNCTION("""COMPUTED_VALUE"""),"Создание УТП: Авторская технология «Азбука продаж»")</f>
        <v>Создание УТП: Авторская технология «Азбука продаж»</v>
      </c>
      <c r="D469" s="1" t="str">
        <f ca="1">IFERROR(__xludf.DUMMYFUNCTION("""COMPUTED_VALUE"""),"- Игра «Генерация идей»: как придумать УТП
- Техника «Чемодан на колёсиках»
- 16 мотиваторов покупок
- Кейсы великих брендов
- Пошаговая инструкция для создания УТП
- Как клиент подскажет вам вашу уникальность ")</f>
        <v xml:space="preserve">- Игра «Генерация идей»: как придумать УТП
- Техника «Чемодан на колёсиках»
- 16 мотиваторов покупок
- Кейсы великих брендов
- Пошаговая инструкция для создания УТП
- Как клиент подскажет вам вашу уникальность </v>
      </c>
    </row>
    <row r="470" spans="1:4" ht="12.75" x14ac:dyDescent="0.2">
      <c r="A470" s="1"/>
      <c r="B470" s="4"/>
      <c r="C470" s="4" t="str">
        <f ca="1">IFERROR(__xludf.DUMMYFUNCTION("""COMPUTED_VALUE"""),"Команда и личная эффективность")</f>
        <v>Команда и личная эффективность</v>
      </c>
      <c r="D470" s="1" t="str">
        <f ca="1">IFERROR(__xludf.DUMMYFUNCTION("""COMPUTED_VALUE"""),"- Команда и личная эффективность: как руководителю делегировать и не завязывать все процессы на себе
- Как выбирать людей в команду?
- Какими критериями должен соответствовать кандидат при устройстве к вам на работу? Определение критериев
- Как выбрать со"&amp;"трудника, который будет соответствовать культуре и ценностям вашей компании?
- Спонсорство и партнерство ")</f>
        <v xml:space="preserve">- Команда и личная эффективность: как руководителю делегировать и не завязывать все процессы на себе
- Как выбирать людей в команду?
- Какими критериями должен соответствовать кандидат при устройстве к вам на работу? Определение критериев
- Как выбрать сотрудника, который будет соответствовать культуре и ценностям вашей компании?
- Спонсорство и партнерство </v>
      </c>
    </row>
    <row r="471" spans="1:4" ht="12.75" x14ac:dyDescent="0.2">
      <c r="A471" s="1"/>
      <c r="B471" s="4"/>
      <c r="C471" s="4" t="str">
        <f ca="1">IFERROR(__xludf.DUMMYFUNCTION("""COMPUTED_VALUE"""),"Любовь и 100 процентов годовых")</f>
        <v>Любовь и 100 процентов годовых</v>
      </c>
      <c r="D471" s="1" t="str">
        <f ca="1">IFERROR(__xludf.DUMMYFUNCTION("""COMPUTED_VALUE"""),"- Почему деньги, бизнес и любовь неразрывно связаны?
- Капитал 21 века и при чем здесь романтики?
- Формула героев: чудо - это вера, приумноженная на труд
- Человекосеть - ценность связи людей между друг другом 
- Как найти силы, чтобы жить. Формула м"&amp;"отивации и самомотивации 
 - Любой талантливый бизнес - это монополия. Парадокс менеджмента")</f>
        <v>- Почему деньги, бизнес и любовь неразрывно связаны?
- Капитал 21 века и при чем здесь романтики?
- Формула героев: чудо - это вера, приумноженная на труд
- Человекосеть - ценность связи людей между друг другом 
- Как найти силы, чтобы жить. Формула мотивации и самомотивации 
 - Любой талантливый бизнес - это монополия. Парадокс менеджмента</v>
      </c>
    </row>
    <row r="472" spans="1:4" ht="38.25" x14ac:dyDescent="0.2">
      <c r="A472" s="1"/>
      <c r="B472" s="4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2" s="4" t="str">
        <f ca="1">IFERROR(__xludf.DUMMYFUNCTION("""COMPUTED_VALUE"""),"Что такое цифровая трансформация бизнеса? Пошаговый алгоритм перехода")</f>
        <v>Что такое цифровая трансформация бизнеса? Пошаговый алгоритм перехода</v>
      </c>
      <c r="D472" s="1" t="str">
        <f ca="1">IFERROR(__xludf.DUMMYFUNCTION("""COMPUTED_VALUE"""),"- Различия между автоматизацией, цифровизацией и цифровой трансформацией 
- Аудит вашей компании на готовность к цифровизации
- Пошаговый алгоритм перехода к цифровизации
- Обзор мировых трендов в цифровизации бизнеса
- Условия, необходимые для успешной ц"&amp;"ифровой трансформации бизнеса
- Основные этапы цифровой трансформации бизнеса
- Потенциальные сложности цифровизации бизнес-процессов и способы их преодоления
")</f>
        <v xml:space="preserve">- Различия между автоматизацией, цифровизацией и цифровой трансформацией 
- Аудит вашей компании на готовность к цифровизации
- Пошаговый алгоритм перехода к цифровизации
- Обзор мировых трендов в цифровизации бизнеса
- Условия, необходимые для успешной цифровой трансформации бизнеса
- Основные этапы цифровой трансформации бизнеса
- Потенциальные сложности цифровизации бизнес-процессов и способы их преодоления
</v>
      </c>
    </row>
    <row r="473" spans="1:4" ht="25.5" x14ac:dyDescent="0.2">
      <c r="A473" s="1"/>
      <c r="B473" s="4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3" s="4" t="str">
        <f ca="1">IFERROR(__xludf.DUMMYFUNCTION("""COMPUTED_VALUE"""),"Цифровая культура организации")</f>
        <v>Цифровая культура организации</v>
      </c>
      <c r="D473" s="1" t="str">
        <f ca="1">IFERROR(__xludf.DUMMYFUNCTION("""COMPUTED_VALUE"""),"- Диагностика и создание плана действий при помощи модели ADKAR
- Особенности управления изменениями на основе формирования культуры в компании
- Принципы цифрового этикета
- Как избегать неловких моментов в общении?
- Цифровые привычки, влияющие на имидж"&amp;"?
- Правила цифрового общения")</f>
        <v>- Диагностика и создание плана действий при помощи модели ADKAR
- Особенности управления изменениями на основе формирования культуры в компании
- Принципы цифрового этикета
- Как избегать неловких моментов в общении?
- Цифровые привычки, влияющие на имидж?
- Правила цифрового общения</v>
      </c>
    </row>
    <row r="474" spans="1:4" ht="25.5" x14ac:dyDescent="0.2">
      <c r="A474" s="1"/>
      <c r="B474" s="4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4" s="4" t="str">
        <f ca="1">IFERROR(__xludf.DUMMYFUNCTION("""COMPUTED_VALUE"""),"Agile и Канбан или как облегчить жизнь бизнесу?")</f>
        <v>Agile и Канбан или как облегчить жизнь бизнесу?</v>
      </c>
      <c r="D474" s="1" t="str">
        <f ca="1">IFERROR(__xludf.DUMMYFUNCTION("""COMPUTED_VALUE"""),"- Инструменты Agile. Обзор
- С чего начать Agile-трансформацию в компании
- КАНБАН – система непрерывного улучшения сервисов в компании. Принципы и практики КАНБАН
- Визуализация процессов
- Как управлять потоком задач по методу КАНБАН
- SCRUM – инструмен"&amp;"т создания новых продуктов
- Принципы, термины, роли в команде
- Как выглядит процесс по методу SCRUM
- Удаленная работа в КАНБАН и SCRUM. Инструменты")</f>
        <v>- Инструменты Agile. Обзор
- С чего начать Agile-трансформацию в компании
- КАНБАН – система непрерывного улучшения сервисов в компании. Принципы и практики КАНБАН
- Визуализация процессов
- Как управлять потоком задач по методу КАНБАН
- SCRUM – инструмент создания новых продуктов
- Принципы, термины, роли в команде
- Как выглядит процесс по методу SCRUM
- Удаленная работа в КАНБАН и SCRUM. Инструменты</v>
      </c>
    </row>
    <row r="475" spans="1:4" ht="51" x14ac:dyDescent="0.2">
      <c r="A475" s="1"/>
      <c r="B475" s="4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5" s="4" t="str">
        <f ca="1">IFERROR(__xludf.DUMMYFUNCTION("""COMPUTED_VALUE"""),"Подготовка команды к цифровым изменениям бизнеса. Инструменты для удалённой работы сотрудников")</f>
        <v>Подготовка команды к цифровым изменениям бизнеса. Инструменты для удалённой работы сотрудников</v>
      </c>
      <c r="D475" s="1" t="str">
        <f ca="1">IFERROR(__xludf.DUMMYFUNCTION("""COMPUTED_VALUE"""),"- Самонастройка руководителя и подготовка к цифровым изменениям
- Подготовка команды к цифровизации бизнес-процессов
- Выстраивание удаленных коммуникаций с сотрудниками
- Пошаговый алгоритм перестройки управленческих процессов 
- Разбор диалоговых сервис"&amp;"ов для работы с командой
- Внедрение сервисов для асинхронной работы для выполнения задач")</f>
        <v>- Самонастройка руководителя и подготовка к цифровым изменениям
- Подготовка команды к цифровизации бизнес-процессов
- Выстраивание удаленных коммуникаций с сотрудниками
- Пошаговый алгоритм перестройки управленческих процессов 
- Разбор диалоговых сервисов для работы с командой
- Внедрение сервисов для асинхронной работы для выполнения задач</v>
      </c>
    </row>
    <row r="476" spans="1:4" ht="38.25" x14ac:dyDescent="0.2">
      <c r="A476" s="1"/>
      <c r="B476" s="4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6" s="4" t="str">
        <f ca="1">IFERROR(__xludf.DUMMYFUNCTION("""COMPUTED_VALUE"""),"Маркетинг цифровых решений на примере создания собственного сайта")</f>
        <v>Маркетинг цифровых решений на примере создания собственного сайта</v>
      </c>
      <c r="D476" s="1" t="str">
        <f ca="1">IFERROR(__xludf.DUMMYFUNCTION("""COMPUTED_VALUE"""),"- Анализ целевой аудитории, конкурентов для разработки продающего сайта
- Отстройка от конкурентов на лендинге
- Что такое ""триггеры"" и как с их помощью ""цеплять"" целевую аудиторию
- Формирование выгод от покупки
- Обработка возражений для написания т"&amp;"екстов сайта
- Разработка сильного позиционирования и идеального предложения
- Конструкторы сайтов: как создавать сайты услуг и магазины
- Пошаговая разработка собственного сайта")</f>
        <v>- Анализ целевой аудитории, конкурентов для разработки продающего сайта
- Отстройка от конкурентов на лендинге
- Что такое "триггеры" и как с их помощью "цеплять" целевую аудиторию
- Формирование выгод от покупки
- Обработка возражений для написания текстов сайта
- Разработка сильного позиционирования и идеального предложения
- Конструкторы сайтов: как создавать сайты услуг и магазины
- Пошаговая разработка собственного сайта</v>
      </c>
    </row>
    <row r="477" spans="1:4" ht="25.5" x14ac:dyDescent="0.2">
      <c r="A477" s="1"/>
      <c r="B477" s="4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7" s="4" t="str">
        <f ca="1">IFERROR(__xludf.DUMMYFUNCTION("""COMPUTED_VALUE"""),"Цифровые площадки как канал продаж")</f>
        <v>Цифровые площадки как канал продаж</v>
      </c>
      <c r="D477" s="1" t="str">
        <f ca="1">IFERROR(__xludf.DUMMYFUNCTION("""COMPUTED_VALUE"""),"- Применение электронной подписи для выхода на государственные площадки, получения господдержки
- Выход на порталы поставщиков для реализации продукции - как разместить коммерческие предложения на гос.площадках, как работать с госзаказчиками внутри регион"&amp;"а
- Использование электронных сервисов поддержки бизнеса 
- Выход на электронные торговые площадки - как использовать преимущества гос.площадок, как работать с региональными органами власти")</f>
        <v>- Применение электронной подписи для выхода на государственные площадки, получения господдержки
- Выход на порталы поставщиков для реализации продукции - как разместить коммерческие предложения на гос.площадках, как работать с госзаказчиками внутри региона
- Использование электронных сервисов поддержки бизнеса 
- Выход на электронные торговые площадки - как использовать преимущества гос.площадок, как работать с региональными органами власти</v>
      </c>
    </row>
    <row r="478" spans="1:4" ht="25.5" x14ac:dyDescent="0.2">
      <c r="A478" s="1"/>
      <c r="B478" s="4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8" s="4" t="str">
        <f ca="1">IFERROR(__xludf.DUMMYFUNCTION("""COMPUTED_VALUE"""),"Увеличение продаж через внедрение CRM")</f>
        <v>Увеличение продаж через внедрение CRM</v>
      </c>
      <c r="D478" s="1" t="str">
        <f ca="1">IFERROR(__xludf.DUMMYFUNCTION("""COMPUTED_VALUE"""),"- Основы CRM: Кому нужна CRM. Возможности CRM систем
- Этапы внедрения: Ключевые требования к процессу внедрения. Минимизация управленческих и технологических рисков
- С чего начать автоматизацию: Структура проектной команды. Как подготовить требования дл"&amp;"я ТЗ. Основные ошибки интеграции
- Возможности и Кейсы. Автоматическая работа с заявками. Формирование документов. Курьерская доставка. Автоматизация в WhatsApp
- Печать документов
- Digital воронки")</f>
        <v>- Основы CRM: Кому нужна CRM. Возможности CRM систем
- Этапы внедрения: Ключевые требования к процессу внедрения. Минимизация управленческих и технологических рисков
- С чего начать автоматизацию: Структура проектной команды. Как подготовить требования для ТЗ. Основные ошибки интеграции
- Возможности и Кейсы. Автоматическая работа с заявками. Формирование документов. Курьерская доставка. Автоматизация в WhatsApp
- Печать документов
- Digital воронки</v>
      </c>
    </row>
    <row r="479" spans="1:4" ht="25.5" x14ac:dyDescent="0.2">
      <c r="A479" s="1"/>
      <c r="B479" s="4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79" s="4" t="str">
        <f ca="1">IFERROR(__xludf.DUMMYFUNCTION("""COMPUTED_VALUE"""),"Защита данных в сети и в облаке")</f>
        <v>Защита данных в сети и в облаке</v>
      </c>
      <c r="D479" s="1" t="str">
        <f ca="1">IFERROR(__xludf.DUMMYFUNCTION("""COMPUTED_VALUE"""),"- Сколько бизнес теряет на взломе и утечке информации
- Как защитить базу клиентов от копирования и увода на сторону?
- Когда в штате нужен специалист по защите информации 
- Как обучить сотрудников, чтобы они не стали причиной взлома?
- Как безопасно раб"&amp;"отать с конфиденциальной информацией?
- Защита персональных данных – что по закону, что на практике
- Минимальные технические средства, которые надо внедрить для безопасности компании")</f>
        <v>- Сколько бизнес теряет на взломе и утечке информации
- Как защитить базу клиентов от копирования и увода на сторону?
- Когда в штате нужен специалист по защите информации 
- Как обучить сотрудников, чтобы они не стали причиной взлома?
- Как безопасно работать с конфиденциальной информацией?
- Защита персональных данных – что по закону, что на практике
- Минимальные технические средства, которые надо внедрить для безопасности компании</v>
      </c>
    </row>
    <row r="480" spans="1:4" ht="38.25" x14ac:dyDescent="0.2">
      <c r="A480" s="1"/>
      <c r="B480" s="4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80" s="4" t="str">
        <f ca="1">IFERROR(__xludf.DUMMYFUNCTION("""COMPUTED_VALUE"""),"Правовые вопросы защиты предпринимателя на этапе автоматизации, цифровизации")</f>
        <v>Правовые вопросы защиты предпринимателя на этапе автоматизации, цифровизации</v>
      </c>
      <c r="D480" s="1" t="str">
        <f ca="1">IFERROR(__xludf.DUMMYFUNCTION("""COMPUTED_VALUE"""),"-  Как выстроить безопасные онлайн-продажи в бизнесе: советы юриста 
-  Шаблоны примеров как включить мотивацию по работе с CRM, KPI в трудовые договоры с работниками
-  Консультация по юридической защите базы клиентов от краж
- Электронная переписка с кл"&amp;"иентами, сотрудниками, партнерами, заключение договоров и договоренностей онлайн, мессенджеры и др. 
- Как «узаконить» коммуникацию?
- Рекомендации, юридические онлайн-сервисы для эффективной и безопасной работы
- Документы для работы: оферты, согласия н"&amp;"а обработку персональных данных, пользовательское соглашение и др.")</f>
        <v>-  Как выстроить безопасные онлайн-продажи в бизнесе: советы юриста 
-  Шаблоны примеров как включить мотивацию по работе с CRM, KPI в трудовые договоры с работниками
-  Консультация по юридической защите базы клиентов от краж
- Электронная переписка с клиентами, сотрудниками, партнерами, заключение договоров и договоренностей онлайн, мессенджеры и др. 
- Как «узаконить» коммуникацию?
- Рекомендации, юридические онлайн-сервисы для эффективной и безопасной работы
- Документы для работы: оферты, согласия на обработку персональных данных, пользовательское соглашение и др.</v>
      </c>
    </row>
    <row r="481" spans="1:4" ht="38.25" x14ac:dyDescent="0.2">
      <c r="A481" s="1"/>
      <c r="B481" s="4" t="str">
        <f ca="1">IFERROR(__xludf.DUMMYFUNCTION("""COMPUTED_VALUE"""),"Трансформационная программа цифровизация бизнеса")</f>
        <v>Трансформационная программа цифровизация бизнеса</v>
      </c>
      <c r="C481" s="4" t="str">
        <f ca="1">IFERROR(__xludf.DUMMYFUNCTION("""COMPUTED_VALUE"""),"Практикум «Моделирование бизнес-процессов» 
")</f>
        <v xml:space="preserve">Практикум «Моделирование бизнес-процессов» 
</v>
      </c>
      <c r="D481" s="1" t="str">
        <f ca="1">IFERROR(__xludf.DUMMYFUNCTION("""COMPUTED_VALUE"""),"- Практическое обучение навыкам применения процессного подхода на реальных кейсах, которое дает реальное представление о процессах в организации, возможных потерях, формирует процессное-мышление и цифровую культуру
- Отработка моделирования бизнес-процесс"&amp;"а, процесса с вводными данными и замер результатов
- Определение потенциала и описание шагов дальнейшего совершенствования")</f>
        <v>- Практическое обучение навыкам применения процессного подхода на реальных кейсах, которое дает реальное представление о процессах в организации, возможных потерях, формирует процессное-мышление и цифровую культуру
- Отработка моделирования бизнес-процесса, процесса с вводными данными и замер результатов
- Определение потенциала и описание шагов дальнейшего совершенствования</v>
      </c>
    </row>
    <row r="482" spans="1:4" ht="38.25" x14ac:dyDescent="0.2">
      <c r="A482" s="1"/>
      <c r="B482" s="4" t="str">
        <f ca="1">IFERROR(__xludf.DUMMYFUNCTION("""COMPUTED_VALUE"""),"Публичность предпринимателя")</f>
        <v>Публичность предпринимателя</v>
      </c>
      <c r="C482" s="4" t="str">
        <f ca="1">IFERROR(__xludf.DUMMYFUNCTION("""COMPUTED_VALUE"""),"Нетворкинг как инструмент масштабирования личного бренда
")</f>
        <v xml:space="preserve">Нетворкинг как инструмент масштабирования личного бренда
</v>
      </c>
      <c r="D482" s="1" t="str">
        <f ca="1">IFERROR(__xludf.DUMMYFUNCTION("""COMPUTED_VALUE"""),"- Как правильно выстраивать коммуникации и заводить ""полезные"" контакты
- Разбор ""самопрезентации"" предпринимателя по готовому чек-листу
- ""Продажи"" личного бренда через коммуникации
- Выявляем зоны роста")</f>
        <v>- Как правильно выстраивать коммуникации и заводить "полезные" контакты
- Разбор "самопрезентации" предпринимателя по готовому чек-листу
- "Продажи" личного бренда через коммуникации
- Выявляем зоны роста</v>
      </c>
    </row>
    <row r="483" spans="1:4" ht="51" x14ac:dyDescent="0.2">
      <c r="A483" s="1"/>
      <c r="B483" s="4" t="str">
        <f ca="1">IFERROR(__xludf.DUMMYFUNCTION("""COMPUTED_VALUE"""),"Публичность предпринимателя")</f>
        <v>Публичность предпринимателя</v>
      </c>
      <c r="C483" s="4" t="str">
        <f ca="1">IFERROR(__xludf.DUMMYFUNCTION("""COMPUTED_VALUE"""),"Разбор домашнего задания ""Нетворкинг как инструмент масштабирования личного бренда""")</f>
        <v>Разбор домашнего задания "Нетворкинг как инструмент масштабирования личного бренда"</v>
      </c>
      <c r="D483" s="1" t="str">
        <f ca="1">IFERROR(__xludf.DUMMYFUNCTION("""COMPUTED_VALUE"""),"- Разбор домашнего задания от спикера
- Ответы на вопросы
Домашнее задание:
Запишите самопрезентацию предпринимателя (продолжительностью до 1 мин)
Схема самопрезентации:
1. Результат
2. Как?
3. Wow-эффект")</f>
        <v>- Разбор домашнего задания от спикера
- Ответы на вопросы
Домашнее задание:
Запишите самопрезентацию предпринимателя (продолжительностью до 1 мин)
Схема самопрезентации:
1. Результат
2. Как?
3. Wow-эффект</v>
      </c>
    </row>
    <row r="484" spans="1:4" ht="12.75" x14ac:dyDescent="0.2">
      <c r="A484" s="1"/>
      <c r="B484" s="4" t="str">
        <f ca="1">IFERROR(__xludf.DUMMYFUNCTION("""COMPUTED_VALUE"""),"Публичность предпринимателя")</f>
        <v>Публичность предпринимателя</v>
      </c>
      <c r="C484" s="4" t="str">
        <f ca="1">IFERROR(__xludf.DUMMYFUNCTION("""COMPUTED_VALUE"""),"Встреча с трекером №1")</f>
        <v>Встреча с трекером №1</v>
      </c>
      <c r="D484" s="1" t="str">
        <f ca="1">IFERROR(__xludf.DUMMYFUNCTION("""COMPUTED_VALUE"""),"- Знакомство с трекером и мини-командой
- Постановка целей на весь период обучения
- Какие существуют дополнительные способы развития публичности?
- Заполнение метрик публичности на старте курса")</f>
        <v>- Знакомство с трекером и мини-командой
- Постановка целей на весь период обучения
- Какие существуют дополнительные способы развития публичности?
- Заполнение метрик публичности на старте курса</v>
      </c>
    </row>
    <row r="485" spans="1:4" ht="38.25" x14ac:dyDescent="0.2">
      <c r="A485" s="1"/>
      <c r="B485" s="4" t="str">
        <f ca="1">IFERROR(__xludf.DUMMYFUNCTION("""COMPUTED_VALUE"""),"Публичность предпринимателя")</f>
        <v>Публичность предпринимателя</v>
      </c>
      <c r="C485" s="4" t="str">
        <f ca="1">IFERROR(__xludf.DUMMYFUNCTION("""COMPUTED_VALUE"""),"Продающее онлайн-выступление. Обзор форматов и инструментов
")</f>
        <v xml:space="preserve">Продающее онлайн-выступление. Обзор форматов и инструментов
</v>
      </c>
      <c r="D485" s="1" t="str">
        <f ca="1">IFERROR(__xludf.DUMMYFUNCTION("""COMPUTED_VALUE"""),"- Обзор форматов и инструментов продающего онлайн-выступления
- Как предпринимателю использовать данный формат в своем бизнесе? ")</f>
        <v xml:space="preserve">- Обзор форматов и инструментов продающего онлайн-выступления
- Как предпринимателю использовать данный формат в своем бизнесе? </v>
      </c>
    </row>
    <row r="486" spans="1:4" ht="51" x14ac:dyDescent="0.2">
      <c r="A486" s="1"/>
      <c r="B486" s="4" t="str">
        <f ca="1">IFERROR(__xludf.DUMMYFUNCTION("""COMPUTED_VALUE"""),"Публичность предпринимателя")</f>
        <v>Публичность предпринимателя</v>
      </c>
      <c r="C486" s="4" t="str">
        <f ca="1">IFERROR(__xludf.DUMMYFUNCTION("""COMPUTED_VALUE"""),"Разбор домашнего задания ""Продающее онлайн-выступление. Обзор форматов и инструментов""")</f>
        <v>Разбор домашнего задания "Продающее онлайн-выступление. Обзор форматов и инструментов"</v>
      </c>
      <c r="D486" s="1" t="str">
        <f ca="1">IFERROR(__xludf.DUMMYFUNCTION("""COMPUTED_VALUE"""),"- Разбор домашнего задания от спикера
- Ответы на вопросы
Домашнее задание:
1. Снять видео на тему: ""Продай"" книгу/фильм, которые вас ""зацепили""")</f>
        <v>- Разбор домашнего задания от спикера
- Ответы на вопросы
Домашнее задание:
1. Снять видео на тему: "Продай" книгу/фильм, которые вас "зацепили"</v>
      </c>
    </row>
    <row r="487" spans="1:4" ht="12.75" x14ac:dyDescent="0.2">
      <c r="A487" s="1"/>
      <c r="B487" s="4" t="str">
        <f ca="1">IFERROR(__xludf.DUMMYFUNCTION("""COMPUTED_VALUE"""),"Публичность предпринимателя")</f>
        <v>Публичность предпринимателя</v>
      </c>
      <c r="C487" s="4" t="str">
        <f ca="1">IFERROR(__xludf.DUMMYFUNCTION("""COMPUTED_VALUE"""),"13 друзей личного бренда")</f>
        <v>13 друзей личного бренда</v>
      </c>
      <c r="D487" s="1" t="str">
        <f ca="1">IFERROR(__xludf.DUMMYFUNCTION("""COMPUTED_VALUE"""),"- УЛП - уникальное личное позиционирование 
- Аудит личного бренда - 16 граней, какой ваш личный бренд сегодня? 
- Сторителлинг - умение рассказать и написать  о себе   
- Видео визитка, как инструмент упаковки личного бренда 
- Упаковка человека бренда. "&amp;"Визуализация бренда через образ, фото, позиционирование")</f>
        <v>- УЛП - уникальное личное позиционирование 
- Аудит личного бренда - 16 граней, какой ваш личный бренд сегодня? 
- Сторителлинг - умение рассказать и написать  о себе   
- Видео визитка, как инструмент упаковки личного бренда 
- Упаковка человека бренда. Визуализация бренда через образ, фото, позиционирование</v>
      </c>
    </row>
    <row r="488" spans="1:4" ht="25.5" x14ac:dyDescent="0.2">
      <c r="A488" s="1"/>
      <c r="B488" s="4" t="str">
        <f ca="1">IFERROR(__xludf.DUMMYFUNCTION("""COMPUTED_VALUE"""),"Публичность предпринимателя")</f>
        <v>Публичность предпринимателя</v>
      </c>
      <c r="C488" s="4" t="str">
        <f ca="1">IFERROR(__xludf.DUMMYFUNCTION("""COMPUTED_VALUE"""),"Разбор домашнего задания ""13 друзей личного бренда""")</f>
        <v>Разбор домашнего задания "13 друзей личного бренда"</v>
      </c>
      <c r="D488" s="1" t="str">
        <f ca="1">IFERROR(__xludf.DUMMYFUNCTION("""COMPUTED_VALUE"""),"- Разбор домашнего задания от спикера
- Ответы на вопросы
Домашнее задание:
1. Найдите варианты фото, идей образов, поз, для вашего визуала
2. Составьте коллаж из фото крупного, среднего, общего плана, фото деталей, исходя из вашего позиционирования. 8-"&amp;"12 фото идей для коллажа")</f>
        <v>- Разбор домашнего задания от спикера
- Ответы на вопросы
Домашнее задание:
1. Найдите варианты фото, идей образов, поз, для вашего визуала
2. Составьте коллаж из фото крупного, среднего, общего плана, фото деталей, исходя из вашего позиционирования. 8-12 фото идей для коллажа</v>
      </c>
    </row>
    <row r="489" spans="1:4" ht="12.75" x14ac:dyDescent="0.2">
      <c r="A489" s="1"/>
      <c r="B489" s="4" t="str">
        <f ca="1">IFERROR(__xludf.DUMMYFUNCTION("""COMPUTED_VALUE"""),"Публичность предпринимателя")</f>
        <v>Публичность предпринимателя</v>
      </c>
      <c r="C489" s="4" t="str">
        <f ca="1">IFERROR(__xludf.DUMMYFUNCTION("""COMPUTED_VALUE"""),"Встреча с трекером №2")</f>
        <v>Встреча с трекером №2</v>
      </c>
      <c r="D489" s="1" t="str">
        <f ca="1">IFERROR(__xludf.DUMMYFUNCTION("""COMPUTED_VALUE"""),"- Отслеживание поставленных целей: что удалось выполнить? 
- Постановка новых целей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Развивающ"&amp;"ая обратная связь")</f>
        <v>- Отслеживание поставленных целей: что удалось выполнить? 
- Постановка новых целей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Развивающая обратная связь</v>
      </c>
    </row>
    <row r="490" spans="1:4" ht="12.75" x14ac:dyDescent="0.2">
      <c r="A490" s="1"/>
      <c r="B490" s="4" t="str">
        <f ca="1">IFERROR(__xludf.DUMMYFUNCTION("""COMPUTED_VALUE"""),"Публичность предпринимателя")</f>
        <v>Публичность предпринимателя</v>
      </c>
      <c r="C490" s="4" t="str">
        <f ca="1">IFERROR(__xludf.DUMMYFUNCTION("""COMPUTED_VALUE"""),"Оформление социальных сетей ")</f>
        <v xml:space="preserve">Оформление социальных сетей </v>
      </c>
      <c r="D490" s="1" t="str">
        <f ca="1">IFERROR(__xludf.DUMMYFUNCTION("""COMPUTED_VALUE"""),"- Анализ конкурентов ТОП-5 сервисов для быстрой работы 
- Анализ целевой аудитории
- Как работают алгоритмы Instagram
- Чек-лист по настройке и оформлению бизнес-аккаунта: аватар / шапка / ссылки 
- Безопасность и защита аккаунта
- Контент-план: виды конт"&amp;"ента, форматы
- Рубрикатор, тексты, графика и фото
- Сервисы, которые нужны при работе с Instagram")</f>
        <v>- Анализ конкурентов ТОП-5 сервисов для быстрой работы 
- Анализ целевой аудитории
- Как работают алгоритмы Instagram
- Чек-лист по настройке и оформлению бизнес-аккаунта: аватар / шапка / ссылки 
- Безопасность и защита аккаунта
- Контент-план: виды контента, форматы
- Рубрикатор, тексты, графика и фото
- Сервисы, которые нужны при работе с Instagram</v>
      </c>
    </row>
    <row r="491" spans="1:4" ht="25.5" x14ac:dyDescent="0.2">
      <c r="A491" s="1"/>
      <c r="B491" s="4" t="str">
        <f ca="1">IFERROR(__xludf.DUMMYFUNCTION("""COMPUTED_VALUE"""),"Публичность предпринимателя")</f>
        <v>Публичность предпринимателя</v>
      </c>
      <c r="C491" s="4" t="str">
        <f ca="1">IFERROR(__xludf.DUMMYFUNCTION("""COMPUTED_VALUE"""),"Разбор домашнего задания ""Оформление социальных сетей""")</f>
        <v>Разбор домашнего задания "Оформление социальных сетей"</v>
      </c>
      <c r="D491" s="1" t="str">
        <f ca="1">IFERROR(__xludf.DUMMYFUNCTION("""COMPUTED_VALUE"""),"- Разбор домашнего задания от спикера
- Ответы на вопросы
Домашнее задание:
1. Разработать шапку для коммерческого аккаунта или своего профиля
2. Создать 3 поста для ленты")</f>
        <v>- Разбор домашнего задания от спикера
- Ответы на вопросы
Домашнее задание:
1. Разработать шапку для коммерческого аккаунта или своего профиля
2. Создать 3 поста для ленты</v>
      </c>
    </row>
    <row r="492" spans="1:4" ht="12.75" x14ac:dyDescent="0.2">
      <c r="A492" s="1"/>
      <c r="B492" s="4" t="str">
        <f ca="1">IFERROR(__xludf.DUMMYFUNCTION("""COMPUTED_VALUE"""),"Публичность предпринимателя")</f>
        <v>Публичность предпринимателя</v>
      </c>
      <c r="C492" s="4" t="str">
        <f ca="1">IFERROR(__xludf.DUMMYFUNCTION("""COMPUTED_VALUE"""),"Встреча с трекером №3")</f>
        <v>Встреча с трекером №3</v>
      </c>
      <c r="D492" s="1" t="str">
        <f ca="1">IFERROR(__xludf.DUMMYFUNCTION("""COMPUTED_VALUE"""),"- Отслеживание поставленных целей: что удалось выполнить? 
- Постановка новых целей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Развивающ"&amp;"ая обратная связь")</f>
        <v>- Отслеживание поставленных целей: что удалось выполнить? 
- Постановка новых целей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Развивающая обратная связь</v>
      </c>
    </row>
    <row r="493" spans="1:4" ht="38.25" x14ac:dyDescent="0.2">
      <c r="A493" s="1"/>
      <c r="B493" s="4" t="str">
        <f ca="1">IFERROR(__xludf.DUMMYFUNCTION("""COMPUTED_VALUE"""),"Публичность предпринимателя")</f>
        <v>Публичность предпринимателя</v>
      </c>
      <c r="C493" s="4" t="str">
        <f ca="1">IFERROR(__xludf.DUMMYFUNCTION("""COMPUTED_VALUE"""),"Как создать красивую презентацию 
")</f>
        <v xml:space="preserve">Как создать красивую презентацию 
</v>
      </c>
      <c r="D493" s="1" t="str">
        <f ca="1">IFERROR(__xludf.DUMMYFUNCTION("""COMPUTED_VALUE"""),"- Какие визуальные материалы сопровождают предпринимателя? 
- Для каких целей нужна презентация? 
- Что такое «красивая презентация»? Основы стиля в визуальных материалах
- Структура выступления и шаблон презентации")</f>
        <v>- Какие визуальные материалы сопровождают предпринимателя? 
- Для каких целей нужна презентация? 
- Что такое «красивая презентация»? Основы стиля в визуальных материалах
- Структура выступления и шаблон презентации</v>
      </c>
    </row>
    <row r="494" spans="1:4" ht="25.5" x14ac:dyDescent="0.2">
      <c r="A494" s="1"/>
      <c r="B494" s="4" t="str">
        <f ca="1">IFERROR(__xludf.DUMMYFUNCTION("""COMPUTED_VALUE"""),"Публичность предпринимателя")</f>
        <v>Публичность предпринимателя</v>
      </c>
      <c r="C494" s="4" t="str">
        <f ca="1">IFERROR(__xludf.DUMMYFUNCTION("""COMPUTED_VALUE"""),"Разбор домашнего задания ""Как создать красивую презентацию""")</f>
        <v>Разбор домашнего задания "Как создать красивую презентацию"</v>
      </c>
      <c r="D494" s="1" t="str">
        <f ca="1">IFERROR(__xludf.DUMMYFUNCTION("""COMPUTED_VALUE"""),"- Разбор домашнего задания от спикера
- Ответы на вопросы
Домашнее задание:
1. Прописать структуру презентации текстом
2. Подготовить красивую презентацию 
3. Подготовить краткий текст выступления к этой презентации")</f>
        <v>- Разбор домашнего задания от спикера
- Ответы на вопросы
Домашнее задание:
1. Прописать структуру презентации текстом
2. Подготовить красивую презентацию 
3. Подготовить краткий текст выступления к этой презентации</v>
      </c>
    </row>
    <row r="495" spans="1:4" ht="38.25" x14ac:dyDescent="0.2">
      <c r="A495" s="1"/>
      <c r="B495" s="4" t="str">
        <f ca="1">IFERROR(__xludf.DUMMYFUNCTION("""COMPUTED_VALUE"""),"Публичность предпринимателя")</f>
        <v>Публичность предпринимателя</v>
      </c>
      <c r="C495" s="4" t="str">
        <f ca="1">IFERROR(__xludf.DUMMYFUNCTION("""COMPUTED_VALUE"""),"Базовые навыки для публичных выступлений в офлайн-формате
")</f>
        <v xml:space="preserve">Базовые навыки для публичных выступлений в офлайн-формате
</v>
      </c>
      <c r="D495" s="1" t="str">
        <f ca="1">IFERROR(__xludf.DUMMYFUNCTION("""COMPUTED_VALUE"""),"- Как включить харизму и отключить страхи перед аудиторией?
- Формула успешного выступления
- Выясняем цель выступления
- Как придумать цель выступления?")</f>
        <v>- Как включить харизму и отключить страхи перед аудиторией?
- Формула успешного выступления
- Выясняем цель выступления
- Как придумать цель выступления?</v>
      </c>
    </row>
    <row r="496" spans="1:4" ht="12.75" x14ac:dyDescent="0.2">
      <c r="A496" s="1"/>
      <c r="B496" s="4" t="str">
        <f ca="1">IFERROR(__xludf.DUMMYFUNCTION("""COMPUTED_VALUE"""),"Публичность предпринимателя")</f>
        <v>Публичность предпринимателя</v>
      </c>
      <c r="C496" s="4" t="str">
        <f ca="1">IFERROR(__xludf.DUMMYFUNCTION("""COMPUTED_VALUE"""),"Встреча с трекером №4")</f>
        <v>Встреча с трекером №4</v>
      </c>
      <c r="D496" s="1" t="str">
        <f ca="1">IFERROR(__xludf.DUMMYFUNCTION("""COMPUTED_VALUE"""),"- Отслеживание поставленных целей на весь курс: что удалось выполнить?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Развивающая обратная с"&amp;"вязь
- Подготовка к финальной питч-сессии")</f>
        <v>- Отслеживание поставленных целей на весь курс: что удалось выполнить?
- Заполнение метрик публичности
- Обсуждение прошедших занятий, какие инструменты удалось внедрить и использовать в жизни?
- Обмен опытом и эмоциями участников
- Развивающая обратная связь
- Подготовка к финальной питч-сессии</v>
      </c>
    </row>
    <row r="497" spans="1:4" ht="12.75" x14ac:dyDescent="0.2">
      <c r="A497" s="1"/>
      <c r="B497" s="4" t="str">
        <f ca="1">IFERROR(__xludf.DUMMYFUNCTION("""COMPUTED_VALUE"""),"Публичность предпринимателя")</f>
        <v>Публичность предпринимателя</v>
      </c>
      <c r="C497" s="4" t="str">
        <f ca="1">IFERROR(__xludf.DUMMYFUNCTION("""COMPUTED_VALUE"""),"Финальная питч-сессия")</f>
        <v>Финальная питч-сессия</v>
      </c>
      <c r="D497" s="1" t="str">
        <f ca="1">IFERROR(__xludf.DUMMYFUNCTION("""COMPUTED_VALUE"""),"- Финальное выступление участников
- Разбор выступлений и обратная связь от спикера
- Составление участниками личного плана развития публичности после обучающей программы")</f>
        <v>- Финальное выступление участников
- Разбор выступлений и обратная связь от спикера
- Составление участниками личного плана развития публичности после обучающей программы</v>
      </c>
    </row>
    <row r="498" spans="1:4" ht="38.25" x14ac:dyDescent="0.2">
      <c r="A498" s="1"/>
      <c r="B498" s="4"/>
      <c r="C498" s="4" t="str">
        <f ca="1">IFERROR(__xludf.DUMMYFUNCTION("""COMPUTED_VALUE"""),"Встреча 1. Мини-группа с трекером
Группа 1 ""Выбор товара""")</f>
        <v>Встреча 1. Мини-группа с трекером
Группа 1 "Выбор товара"</v>
      </c>
      <c r="D498" s="1" t="str">
        <f ca="1">IFERROR(__xludf.DUMMYFUNCTION("""COMPUTED_VALUE"""),"-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завершени"&amp;"ю трекерских встреч, через какие каналы планируют реализовывать товар")</f>
        <v>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завершению трекерских встреч, через какие каналы планируют реализовывать товар</v>
      </c>
    </row>
    <row r="499" spans="1:4" ht="51" x14ac:dyDescent="0.2">
      <c r="A499" s="1"/>
      <c r="B499" s="4"/>
      <c r="C499" s="4" t="str">
        <f ca="1">IFERROR(__xludf.DUMMYFUNCTION("""COMPUTED_VALUE"""),"Встреча 1. Мини-группа с трекером
Группа 2 ""Стратегия продвижения""")</f>
        <v>Встреча 1. Мини-группа с трекером
Группа 2 "Стратегия продвижения"</v>
      </c>
      <c r="D499" s="1" t="str">
        <f ca="1">IFERROR(__xludf.DUMMYFUNCTION("""COMPUTED_VALUE"""),"-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завершени"&amp;"ю трекерских встреч, через какие каналы планируют реализовывать товар")</f>
        <v>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завершению трекерских встреч, через какие каналы планируют реализовывать товар</v>
      </c>
    </row>
    <row r="500" spans="1:4" ht="38.25" x14ac:dyDescent="0.2">
      <c r="A500" s="1"/>
      <c r="B500" s="4"/>
      <c r="C500" s="4" t="str">
        <f ca="1">IFERROR(__xludf.DUMMYFUNCTION("""COMPUTED_VALUE"""),"Встреча 1. Мини-группа с трекером
Группа 3 ""Увеличение продаж""")</f>
        <v>Встреча 1. Мини-группа с трекером
Группа 3 "Увеличение продаж"</v>
      </c>
      <c r="D500" s="1" t="str">
        <f ca="1">IFERROR(__xludf.DUMMYFUNCTION("""COMPUTED_VALUE"""),"-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завершени"&amp;"ю трекерских встреч, через какие каналы планируют реализовывать товар")</f>
        <v>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завершению трекерских встреч, через какие каналы планируют реализовывать товар</v>
      </c>
    </row>
    <row r="501" spans="1:4" ht="38.25" x14ac:dyDescent="0.2">
      <c r="A501" s="1"/>
      <c r="B501" s="4"/>
      <c r="C501" s="4" t="str">
        <f ca="1">IFERROR(__xludf.DUMMYFUNCTION("""COMPUTED_VALUE"""),"Встреча 2. Мини-группа с трекером
Группа 1 ""Выбор товара""")</f>
        <v>Встреча 2. Мини-группа с трекером
Группа 1 "Выбор товара"</v>
      </c>
      <c r="D501" s="1" t="str">
        <f ca="1">IFERROR(__xludf.DUMMYFUNCTION("""COMPUTED_VALUE"""),"- Выбор и анализ товара для продаж
- Выстраивание персональной стратегии
- Обозначение первых шагов по своим целям
")</f>
        <v xml:space="preserve">- Выбор и анализ товара для продаж
- Выстраивание персональной стратегии
- Обозначение первых шагов по своим целям
</v>
      </c>
    </row>
    <row r="502" spans="1:4" ht="51" x14ac:dyDescent="0.2">
      <c r="A502" s="1"/>
      <c r="B502" s="4"/>
      <c r="C502" s="4" t="str">
        <f ca="1">IFERROR(__xludf.DUMMYFUNCTION("""COMPUTED_VALUE"""),"Встреча 2. Мини-группа с трекером
Группа 2 ""Стратегия продвижения""")</f>
        <v>Встреча 2. Мини-группа с трекером
Группа 2 "Стратегия продвижения"</v>
      </c>
      <c r="D502" s="1" t="str">
        <f ca="1">IFERROR(__xludf.DUMMYFUNCTION("""COMPUTED_VALUE"""),"- Анализ товара для продаж на маркетплейсах
- Конкуренты товара – как их найти и по каким критериям оценить
- Выстраивание персональной стратегии продвижения
- Обозначение первых шагов по своим целям
")</f>
        <v xml:space="preserve">- Анализ товара для продаж на маркетплейсах
- Конкуренты товара – как их найти и по каким критериям оценить
- Выстраивание персональной стратегии продвижения
- Обозначение первых шагов по своим целям
</v>
      </c>
    </row>
    <row r="503" spans="1:4" ht="38.25" x14ac:dyDescent="0.2">
      <c r="A503" s="1"/>
      <c r="B503" s="4"/>
      <c r="C503" s="4" t="str">
        <f ca="1">IFERROR(__xludf.DUMMYFUNCTION("""COMPUTED_VALUE"""),"Встреча 2. Мини-группа с трекером
Группа 3 ""Увеличение продаж""")</f>
        <v>Встреча 2. Мини-группа с трекером
Группа 3 "Увеличение продаж"</v>
      </c>
      <c r="D503" s="1" t="str">
        <f ca="1">IFERROR(__xludf.DUMMYFUNCTION("""COMPUTED_VALUE"""),"- Анализ конкурентов: с помощью каких сервисов их можно найти
- Анализ конкурентов: выбрать топовых конкурентов вашего продукта и оценить его товар по основным критериям
- Конкурентная разведка: как проводить разведку и на что обращать внимание
- Пропи"&amp;"сать свои задачи до следующей трекерской встречи")</f>
        <v>- Анализ конкурентов: с помощью каких сервисов их можно найти
- Анализ конкурентов: выбрать топовых конкурентов вашего продукта и оценить его товар по основным критериям
- Конкурентная разведка: как проводить разведку и на что обращать внимание
- Прописать свои задачи до следующей трекерской встречи</v>
      </c>
    </row>
    <row r="504" spans="1:4" ht="38.25" x14ac:dyDescent="0.2">
      <c r="A504" s="1"/>
      <c r="B504" s="4"/>
      <c r="C504" s="4" t="str">
        <f ca="1">IFERROR(__xludf.DUMMYFUNCTION("""COMPUTED_VALUE"""),"Встреча 3. Мини-группа с трекером
Группа 1 ""Выбор товара""")</f>
        <v>Встреча 3. Мини-группа с трекером
Группа 1 "Выбор товара"</v>
      </c>
      <c r="D504" s="1" t="str">
        <f ca="1">IFERROR(__xludf.DUMMYFUNCTION("""COMPUTED_VALUE"""),"- Доработка персональной стратегии
- Рекомендации трекера
- Отчет участников о проделанных шагах
- Обозначение следующих шагов по своим целям
")</f>
        <v xml:space="preserve">- Доработка персональной стратегии
- Рекомендации трекера
- Отчет участников о проделанных шагах
- Обозначение следующих шагов по своим целям
</v>
      </c>
    </row>
    <row r="505" spans="1:4" ht="51" x14ac:dyDescent="0.2">
      <c r="A505" s="1"/>
      <c r="B505" s="4"/>
      <c r="C505" s="4" t="str">
        <f ca="1">IFERROR(__xludf.DUMMYFUNCTION("""COMPUTED_VALUE"""),"Встреча 3. Мини-группа с трекером
Группа 2 ""Стратегия продвижения""")</f>
        <v>Встреча 3. Мини-группа с трекером
Группа 2 "Стратегия продвижения"</v>
      </c>
      <c r="D505" s="1" t="str">
        <f ca="1">IFERROR(__xludf.DUMMYFUNCTION("""COMPUTED_VALUE"""),"- Доработка персональной стратегии – контент план 
- Рекомендации трекера
- Отчет участников о проделанных шагах
- Обозначение следующих шагов по своим целям
")</f>
        <v xml:space="preserve">- Доработка персональной стратегии – контент план 
- Рекомендации трекера
- Отчет участников о проделанных шагах
- Обозначение следующих шагов по своим целям
</v>
      </c>
    </row>
    <row r="506" spans="1:4" ht="38.25" x14ac:dyDescent="0.2">
      <c r="A506" s="1"/>
      <c r="B506" s="4"/>
      <c r="C506" s="4" t="str">
        <f ca="1">IFERROR(__xludf.DUMMYFUNCTION("""COMPUTED_VALUE"""),"Встреча 3. Мини-группа с трекером
Группа 3 ""Увеличение продаж""")</f>
        <v>Встреча 3. Мини-группа с трекером
Группа 3 "Увеличение продаж"</v>
      </c>
      <c r="D506" s="1" t="str">
        <f ca="1">IFERROR(__xludf.DUMMYFUNCTION("""COMPUTED_VALUE"""),"- Контент план для вывода товара на маркетплейсы: фото, видео, описание
- Инструменты для составления контент-плана
- На какие цифровые площадки можно дополнительно выводить товары
- Отчет участников о проделанных предыдущих шагах
- Прописать свои зад"&amp;"ачи до следующей трекерской встречи
")</f>
        <v xml:space="preserve">- Контент план для вывода товара на маркетплейсы: фото, видео, описание
- Инструменты для составления контент-плана
- На какие цифровые площадки можно дополнительно выводить товары
- Отчет участников о проделанных предыдущих шагах
- Прописать свои задачи до следующей трекерской встречи
</v>
      </c>
    </row>
    <row r="507" spans="1:4" ht="38.25" x14ac:dyDescent="0.2">
      <c r="A507" s="1"/>
      <c r="B507" s="4"/>
      <c r="C507" s="4" t="str">
        <f ca="1">IFERROR(__xludf.DUMMYFUNCTION("""COMPUTED_VALUE"""),"Встреча 4. Мини-группа с трекером
Группа 1 ""Выбор товара""")</f>
        <v>Встреча 4. Мини-группа с трекером
Группа 1 "Выбор товара"</v>
      </c>
      <c r="D507" s="1" t="str">
        <f ca="1">IFERROR(__xludf.DUMMYFUNCTION("""COMPUTED_VALUE"""),"- Защита разработанной дорожной карты 
- Замер точки «Б» - достигли ли участники целей, которые ставили вначале программы
- Планируемые итоги участников: размещение товара на маркетплейсах, выведение товара на простые маркетплейсы")</f>
        <v>- Защита разработанной дорожной карты 
- Замер точки «Б» - достигли ли участники целей, которые ставили вначале программы
- Планируемые итоги участников: размещение товара на маркетплейсах, выведение товара на простые маркетплейсы</v>
      </c>
    </row>
    <row r="508" spans="1:4" ht="51" x14ac:dyDescent="0.2">
      <c r="A508" s="1"/>
      <c r="B508" s="4"/>
      <c r="C508" s="4" t="str">
        <f ca="1">IFERROR(__xludf.DUMMYFUNCTION("""COMPUTED_VALUE"""),"Встреча 4. Мини-группа с трекером
Группа 2 ""Стратегия продвижения""")</f>
        <v>Встреча 4. Мини-группа с трекером
Группа 2 "Стратегия продвижения"</v>
      </c>
      <c r="D508" s="1" t="str">
        <f ca="1">IFERROR(__xludf.DUMMYFUNCTION("""COMPUTED_VALUE"""),"- Защита разработанной дорожной карты 
- Замер точки «Б» - достигли ли участники целей, которые ставили вначале программы
- Планируемые итоги участников: подали заявку на размещение товара на маркетплейсах; вывели товар на простые и средние маркетплейсы")</f>
        <v>- Защита разработанной дорожной карты 
- Замер точки «Б» - достигли ли участники целей, которые ставили вначале программы
- Планируемые итоги участников: подали заявку на размещение товара на маркетплейсах; вывели товар на простые и средние маркетплейсы</v>
      </c>
    </row>
    <row r="509" spans="1:4" ht="38.25" x14ac:dyDescent="0.2">
      <c r="A509" s="1"/>
      <c r="B509" s="4"/>
      <c r="C509" s="4" t="str">
        <f ca="1">IFERROR(__xludf.DUMMYFUNCTION("""COMPUTED_VALUE"""),"Встреча 4. Мини-группа с трекером
Группа 3 ""Увеличение продаж""")</f>
        <v>Встреча 4. Мини-группа с трекером
Группа 3 "Увеличение продаж"</v>
      </c>
      <c r="D509" s="1" t="str">
        <f ca="1">IFERROR(__xludf.DUMMYFUNCTION("""COMPUTED_VALUE"""),"- Защита разработанной дорожной карты 
- Замер точки «Б» - достигли ли участники целей, которые ставили вначале программы
- Планируемые итоги участников: подали заявку на размещение дополнительного товара на маркетплейсах, вывели дополнительный товар на м"&amp;"аркетплейсы и электронные площадки, вывели существующий товар на международные маркетплейсы, увеличили объем продаж на маркетплейсах")</f>
        <v>- Защита разработанной дорожной карты 
- Замер точки «Б» - достигли ли участники целей, которые ставили вначале программы
- Планируемые итоги участников: подали заявку на размещение дополнительного товара на маркетплейсах, вывели дополнительный товар на маркетплейсы и электронные площадки, вывели существующий товар на международные маркетплейсы, увеличили объем продаж на маркетплейсах</v>
      </c>
    </row>
    <row r="510" spans="1:4" ht="89.25" x14ac:dyDescent="0.2">
      <c r="A510" s="1"/>
      <c r="B510" s="4" t="str">
        <f ca="1">IFERROR(__xludf.DUMMYFUNCTION("""COMPUTED_VALUE"""),"Акселератор социальных проектов")</f>
        <v>Акселератор социальных проектов</v>
      </c>
      <c r="C510" s="4" t="str">
        <f ca="1">IFERROR(__xludf.DUMMYFUNCTION("""COMPUTED_VALUE"""),"Как перестроиться со сплошной благотворительности на зарабатывание денег и содержание собственного дела. Тренды и специфика социального предпринимательства, генерация бизнес-идей")</f>
        <v>Как перестроиться со сплошной благотворительности на зарабатывание денег и содержание собственного дела. Тренды и специфика социального предпринимательства, генерация бизнес-идей</v>
      </c>
      <c r="D510" s="1" t="str">
        <f ca="1">IFERROR(__xludf.DUMMYFUNCTION("""COMPUTED_VALUE"""),"- Введение в тему социального предпринимательства
- Каналы поиска идей для бизнеса
- Методы генерации идей
- Интенсив-практикум по генерации идей социального предпринимательства в формате дизайн-мышление")</f>
        <v>- Введение в тему социального предпринимательства
- Каналы поиска идей для бизнеса
- Методы генерации идей
- Интенсив-практикум по генерации идей социального предпринимательства в формате дизайн-мышление</v>
      </c>
    </row>
    <row r="511" spans="1:4" ht="63.75" x14ac:dyDescent="0.2">
      <c r="A511" s="1"/>
      <c r="B511" s="4" t="str">
        <f ca="1">IFERROR(__xludf.DUMMYFUNCTION("""COMPUTED_VALUE"""),"Акселератор социальных проектов")</f>
        <v>Акселератор социальных проектов</v>
      </c>
      <c r="C511" s="4" t="str">
        <f ca="1">IFERROR(__xludf.DUMMYFUNCTION("""COMPUTED_VALUE"""),"Бизнес-проектирование: как вписать бизнес-идею в проект для планирования бизнес-процессов и получения финансирования
")</f>
        <v xml:space="preserve">Бизнес-проектирование: как вписать бизнес-идею в проект для планирования бизнес-процессов и получения финансирования
</v>
      </c>
      <c r="D511" s="1" t="str">
        <f ca="1">IFERROR(__xludf.DUMMYFUNCTION("""COMPUTED_VALUE"""),"- Бизнес – модель социального предпринимательства
- Целевая аудитория проекта 
- 5 рабочих формул создания УТП
- Отстройка от конкурентов: креативные механики")</f>
        <v>- Бизнес – модель социального предпринимательства
- Целевая аудитория проекта 
- 5 рабочих формул создания УТП
- Отстройка от конкурентов: креативные механики</v>
      </c>
    </row>
    <row r="512" spans="1:4" ht="12.75" x14ac:dyDescent="0.2">
      <c r="A512" s="1"/>
      <c r="B512" s="4" t="str">
        <f ca="1">IFERROR(__xludf.DUMMYFUNCTION("""COMPUTED_VALUE"""),"Акселератор социальных проектов")</f>
        <v>Акселератор социальных проектов</v>
      </c>
      <c r="C512" s="4" t="str">
        <f ca="1">IFERROR(__xludf.DUMMYFUNCTION("""COMPUTED_VALUE"""),"Встреча 1. Трекинг в мини-группе")</f>
        <v>Встреча 1. Трекинг в мини-группе</v>
      </c>
      <c r="D512" s="1" t="str">
        <f ca="1">IFERROR(__xludf.DUMMYFUNCTION("""COMPUTED_VALUE"""),"- Знакомство участников, обмен целями и идеями
- Нетворкинг
- Сопровождение заполнения входных метрик участниками
- Получение рекомендаций по поиску бизнес-идей")</f>
        <v>- Знакомство участников, обмен целями и идеями
- Нетворкинг
- Сопровождение заполнения входных метрик участниками
- Получение рекомендаций по поиску бизнес-идей</v>
      </c>
    </row>
    <row r="513" spans="1:4" ht="51" x14ac:dyDescent="0.2">
      <c r="A513" s="1"/>
      <c r="B513" s="4" t="str">
        <f ca="1">IFERROR(__xludf.DUMMYFUNCTION("""COMPUTED_VALUE"""),"Акселератор социальных проектов")</f>
        <v>Акселератор социальных проектов</v>
      </c>
      <c r="C513" s="4" t="str">
        <f ca="1">IFERROR(__xludf.DUMMYFUNCTION("""COMPUTED_VALUE"""),"Законодательное регулирование, формы поддержки и источники финансирования социального бизнеса")</f>
        <v>Законодательное регулирование, формы поддержки и источники финансирования социального бизнеса</v>
      </c>
      <c r="D513" s="1" t="str">
        <f ca="1">IFERROR(__xludf.DUMMYFUNCTION("""COMPUTED_VALUE"""),"- Основные положения закона о социальном предпринимательстве
- Основные механизмы получения статуса «Социальное предприятие» 
- Доступные программы поддержки социального предпринимательства
- Источники финансирования социального бизнеса")</f>
        <v>- Основные положения закона о социальном предпринимательстве
- Основные механизмы получения статуса «Социальное предприятие» 
- Доступные программы поддержки социального предпринимательства
- Источники финансирования социального бизнеса</v>
      </c>
    </row>
    <row r="514" spans="1:4" ht="38.25" x14ac:dyDescent="0.2">
      <c r="A514" s="1"/>
      <c r="B514" s="4"/>
      <c r="C514" s="4" t="str">
        <f ca="1">IFERROR(__xludf.DUMMYFUNCTION("""COMPUTED_VALUE"""),"Позиционирование и особенности онлайн-продвижения социального бизнеса")</f>
        <v>Позиционирование и особенности онлайн-продвижения социального бизнеса</v>
      </c>
      <c r="D514" s="1" t="str">
        <f ca="1">IFERROR(__xludf.DUMMYFUNCTION("""COMPUTED_VALUE"""),"- Что такое онлайн-маркетинг
- Пошаговый алгоритм построения системы продвижения социального проекта
- Создание стратегии стабильного роста продаж
- Анализ конкурентов
- Возможности рекламных каналов")</f>
        <v>- Что такое онлайн-маркетинг
- Пошаговый алгоритм построения системы продвижения социального проекта
- Создание стратегии стабильного роста продаж
- Анализ конкурентов
- Возможности рекламных каналов</v>
      </c>
    </row>
    <row r="515" spans="1:4" ht="51" x14ac:dyDescent="0.2">
      <c r="A515" s="1"/>
      <c r="B515" s="4"/>
      <c r="C515" s="4" t="str">
        <f ca="1">IFERROR(__xludf.DUMMYFUNCTION("""COMPUTED_VALUE"""),"Продажи и цифровые решения для организации продаж: Автоматизация системы продаж: как выжать максимум?")</f>
        <v>Продажи и цифровые решения для организации продаж: Автоматизация системы продаж: как выжать максимум?</v>
      </c>
      <c r="D515" s="1" t="str">
        <f ca="1">IFERROR(__xludf.DUMMYFUNCTION("""COMPUTED_VALUE"""),"- Автоматизация отдела продаж. С чего начать
- Как построить воронку продаж
- Подготовка регламентов действий менеджеров по продажам 
- Обзор основных CRM-систем. Основные инструменты и характеристики 
- Как правильно выбрать CRM-систему и не допустить ош"&amp;"ибок в процессе внедрения? 
- Определение правил ведения и учета клиентов отделом продаж
- Разработка и внедрение скриптов продаж
- Запись звонков, система отчетности и контроля менеджеров
- Как контролировать работу отдела
- 10 секретов усиления менеджер"&amp;"ов по продажам")</f>
        <v>- Автоматизация отдела продаж. С чего начать
- Как построить воронку продаж
- Подготовка регламентов действий менеджеров по продажам 
- Обзор основных CRM-систем. Основные инструменты и характеристики 
- Как правильно выбрать CRM-систему и не допустить ошибок в процессе внедрения? 
- Определение правил ведения и учета клиентов отделом продаж
- Разработка и внедрение скриптов продаж
- Запись звонков, система отчетности и контроля менеджеров
- Как контролировать работу отдела
- 10 секретов усиления менеджеров по продажам</v>
      </c>
    </row>
    <row r="516" spans="1:4" ht="12.75" x14ac:dyDescent="0.2">
      <c r="A516" s="1"/>
      <c r="B516" s="4"/>
      <c r="C516" s="4" t="str">
        <f ca="1">IFERROR(__xludf.DUMMYFUNCTION("""COMPUTED_VALUE"""),"Встреча 2. Трекинг в мини-группе")</f>
        <v>Встреча 2. Трекинг в мини-группе</v>
      </c>
      <c r="D516" s="1" t="str">
        <f ca="1">IFERROR(__xludf.DUMMYFUNCTION("""COMPUTED_VALUE"""),"- Подготовка бизнес-проектов
- Получение рекомендаций по составлению бизнес-проекта")</f>
        <v>- Подготовка бизнес-проектов
- Получение рекомендаций по составлению бизнес-проекта</v>
      </c>
    </row>
    <row r="517" spans="1:4" ht="76.5" x14ac:dyDescent="0.2">
      <c r="A517" s="1"/>
      <c r="B517" s="4"/>
      <c r="C517" s="4" t="str">
        <f ca="1">IFERROR(__xludf.DUMMYFUNCTION("""COMPUTED_VALUE"""),"Идеальная команда в социальном проекте: как создавать эффективную команду и выстраивать внутренние процессы в коллективе, в том числе удаленно")</f>
        <v>Идеальная команда в социальном проекте: как создавать эффективную команду и выстраивать внутренние процессы в коллективе, в том числе удаленно</v>
      </c>
      <c r="D517" s="1" t="str">
        <f ca="1">IFERROR(__xludf.DUMMYFUNCTION("""COMPUTED_VALUE"""),"- Где найти команду, как ее замотивировать и не растерять по пути
- Как выстроить отношения с партнерами, чтобы каждый отвечал за свою область
- Какие трудности могут возникать в организации командной деятельности и как с ними работать
- Как правильно дел"&amp;"егировать задачи в команде
- Командный дух - насколько важна его составляющая в работе с командой
- Как выстроить удаленную работу с командой")</f>
        <v>- Где найти команду, как ее замотивировать и не растерять по пути
- Как выстроить отношения с партнерами, чтобы каждый отвечал за свою область
- Какие трудности могут возникать в организации командной деятельности и как с ними работать
- Как правильно делегировать задачи в команде
- Командный дух - насколько важна его составляющая в работе с командой
- Как выстроить удаленную работу с командой</v>
      </c>
    </row>
    <row r="518" spans="1:4" ht="38.25" x14ac:dyDescent="0.2">
      <c r="A518" s="1"/>
      <c r="B518" s="4"/>
      <c r="C518" s="4" t="str">
        <f ca="1">IFERROR(__xludf.DUMMYFUNCTION("""COMPUTED_VALUE"""),"Налогообложение и правовые основы деятельности социального бизнеса")</f>
        <v>Налогообложение и правовые основы деятельности социального бизнеса</v>
      </c>
      <c r="D518" s="1" t="str">
        <f ca="1">IFERROR(__xludf.DUMMYFUNCTION("""COMPUTED_VALUE"""),"- Правовые основые социального бизнеса
- Как правильно заключать, изменять и расторгать договоры для социального бизнеса? 
- Ключевые налоговые режимы для социального бизнеса?")</f>
        <v>- Правовые основые социального бизнеса
- Как правильно заключать, изменять и расторгать договоры для социального бизнеса? 
- Ключевые налоговые режимы для социального бизнеса?</v>
      </c>
    </row>
    <row r="519" spans="1:4" ht="25.5" x14ac:dyDescent="0.2">
      <c r="A519" s="1"/>
      <c r="B519" s="4"/>
      <c r="C519" s="4" t="str">
        <f ca="1">IFERROR(__xludf.DUMMYFUNCTION("""COMPUTED_VALUE"""),"Финансовая модель социального предпринимательства")</f>
        <v>Финансовая модель социального предпринимательства</v>
      </c>
      <c r="D519" s="1" t="str">
        <f ca="1">IFERROR(__xludf.DUMMYFUNCTION("""COMPUTED_VALUE"""),"- Ключевые показатели эффективности проекта
- Расчет доходов и расходов компании
- Расчет показателей рентабельности бизнеса
- Составление отчета о прибылях и убытках компании")</f>
        <v>- Ключевые показатели эффективности проекта
- Расчет доходов и расходов компании
- Расчет показателей рентабельности бизнеса
- Составление отчета о прибылях и убытках компании</v>
      </c>
    </row>
    <row r="520" spans="1:4" ht="51" x14ac:dyDescent="0.2">
      <c r="A520" s="1"/>
      <c r="B520" s="4"/>
      <c r="C520" s="4" t="str">
        <f ca="1">IFERROR(__xludf.DUMMYFUNCTION("""COMPUTED_VALUE"""),"Публичные выступления для бизнеса — от слова к прибыли! Учимся говорить емко, по делу и без воды")</f>
        <v>Публичные выступления для бизнеса — от слова к прибыли! Учимся говорить емко, по делу и без воды</v>
      </c>
      <c r="D520" s="1" t="str">
        <f ca="1">IFERROR(__xludf.DUMMYFUNCTION("""COMPUTED_VALUE"""),"- Роль выступлений в деятельности социального предпринимателя
- Как продать интерес к себе за 30 секунд?
- Создаем эффективную самопрезентацию
- Структура продающего выступления
- Учимся вскрывать боли и закрывать возражения 
- Усилители выступления: през"&amp;"ентация, визуал, метафоры и интерактив
- Отработка выступления на практике с разбором от тренера
- Что сделает любое выступление ярким? Примеры, визуализация, истории, диалог и интерактивность, демонстрации и тест-драйв
- Невербальные приемы в вашем высту"&amp;"плении. Включаем харизму и отключаем страхи на сцене и перед камерой")</f>
        <v>- Роль выступлений в деятельности социального предпринимателя
- Как продать интерес к себе за 30 секунд?
- Создаем эффективную самопрезентацию
- Структура продающего выступления
- Учимся вскрывать боли и закрывать возражения 
- Усилители выступления: презентация, визуал, метафоры и интерактив
- Отработка выступления на практике с разбором от тренера
- Что сделает любое выступление ярким? Примеры, визуализация, истории, диалог и интерактивность, демонстрации и тест-драйв
- Невербальные приемы в вашем выступлении. Включаем харизму и отключаем страхи на сцене и перед камерой</v>
      </c>
    </row>
    <row r="521" spans="1:4" ht="12.75" x14ac:dyDescent="0.2">
      <c r="A521" s="1"/>
      <c r="B521" s="4"/>
      <c r="C521" s="4" t="str">
        <f ca="1">IFERROR(__xludf.DUMMYFUNCTION("""COMPUTED_VALUE"""),"Встреча 3. Трекинг в мини-группе")</f>
        <v>Встреча 3. Трекинг в мини-группе</v>
      </c>
      <c r="D521" s="1" t="str">
        <f ca="1">IFERROR(__xludf.DUMMYFUNCTION("""COMPUTED_VALUE"""),"- Дополнительная проработка материала, полученного на занятии
- Получение рекомендаций перед краш-тестированием проекта
")</f>
        <v xml:space="preserve">- Дополнительная проработка материала, полученного на занятии
- Получение рекомендаций перед краш-тестированием проекта
</v>
      </c>
    </row>
    <row r="522" spans="1:4" ht="25.5" x14ac:dyDescent="0.2">
      <c r="A522" s="1"/>
      <c r="B522" s="4"/>
      <c r="C522" s="4" t="str">
        <f ca="1">IFERROR(__xludf.DUMMYFUNCTION("""COMPUTED_VALUE"""),"Завершение курса: краш-тестирование бизнес-проектов")</f>
        <v>Завершение курса: краш-тестирование бизнес-проектов</v>
      </c>
      <c r="D522" s="1" t="str">
        <f ca="1">IFERROR(__xludf.DUMMYFUNCTION("""COMPUTED_VALUE"""),"- Презентация бизнес-проектов участниками
- Краш-тестинг проектов
- Разработка дорожной карты развития бизнеса")</f>
        <v>- Презентация бизнес-проектов участниками
- Краш-тестинг проектов
- Разработка дорожной карты развития бизнеса</v>
      </c>
    </row>
    <row r="523" spans="1:4" ht="63.75" x14ac:dyDescent="0.2">
      <c r="A523" s="1"/>
      <c r="B523" s="4"/>
      <c r="C523" s="4" t="str">
        <f ca="1">IFERROR(__xludf.DUMMYFUNCTION("""COMPUTED_VALUE"""),"Как повышать охваты и привлекать новых подписчиков в сторис. Главные приемы сторителлинга и работы с блогерами")</f>
        <v>Как повышать охваты и привлекать новых подписчиков в сторис. Главные приемы сторителлинга и работы с блогерами</v>
      </c>
      <c r="D523" s="1" t="str">
        <f ca="1">IFERROR(__xludf.DUMMYFUNCTION("""COMPUTED_VALUE"""),"- Основные понятия драматургии и как их использовать в соц.сетях
- Приемы из кино
- Как использовать сторителлинг. Шаблоны
- Брендарий и схемы  
- Как находить блоггеров
- Анализ блоггеров. Приемы и сервисы 
- Варианты сотрудничества и продающее пис"&amp;"ьмо")</f>
        <v>- Основные понятия драматургии и как их использовать в соц.сетях
- Приемы из кино
- Как использовать сторителлинг. Шаблоны
- Брендарий и схемы  
- Как находить блоггеров
- Анализ блоггеров. Приемы и сервисы 
- Варианты сотрудничества и продающее письмо</v>
      </c>
    </row>
    <row r="524" spans="1:4" ht="38.25" x14ac:dyDescent="0.2">
      <c r="A524" s="1"/>
      <c r="B524" s="4"/>
      <c r="C524" s="4" t="str">
        <f ca="1">IFERROR(__xludf.DUMMYFUNCTION("""COMPUTED_VALUE"""),"Разбор домашнего задания ""Базовые навыки для публичных выступлений в офлайн-формате""")</f>
        <v>Разбор домашнего задания "Базовые навыки для публичных выступлений в офлайн-формате"</v>
      </c>
      <c r="D524" s="1" t="str">
        <f ca="1">IFERROR(__xludf.DUMMYFUNCTION("""COMPUTED_VALUE"""),"- Разбор домашнего задания от спикера
- Ответы на вопросы
Домашнее задание:
1. Снять видео на тему: ""Продай"" книгу/фильм, которые вас ""зацепили""")</f>
        <v>- Разбор домашнего задания от спикера
- Ответы на вопросы
Домашнее задание:
1. Снять видео на тему: "Продай" книгу/фильм, которые вас "зацепили"</v>
      </c>
    </row>
    <row r="525" spans="1:4" ht="38.25" x14ac:dyDescent="0.2">
      <c r="A525" s="1"/>
      <c r="B525" s="4"/>
      <c r="C525" s="4" t="str">
        <f ca="1">IFERROR(__xludf.DUMMYFUNCTION("""COMPUTED_VALUE"""),"Как подготовиться к защите проекта и донести свою идею до зрителя?")</f>
        <v>Как подготовиться к защите проекта и донести свою идею до зрителя?</v>
      </c>
      <c r="D525" s="1" t="str">
        <f ca="1">IFERROR(__xludf.DUMMYFUNCTION("""COMPUTED_VALUE"""),"- Ключевые ошибки во время защиты проекта
- Как избежать этих ошибок?
- Как подготовиться к выступлению? 
- Финальное выступление участников
- Разбор выступлений и обратная связь от спикера
- Составление участниками личного плана развития публичности посл"&amp;"е обучающей программы")</f>
        <v>- Ключевые ошибки во время защиты проекта
- Как избежать этих ошибок?
- Как подготовиться к выступлению? 
- Финальное выступление участников
- Разбор выступлений и обратная связь от спикера
- Составление участниками личного плана развития публичности после обучающей программы</v>
      </c>
    </row>
    <row r="526" spans="1:4" ht="12.75" x14ac:dyDescent="0.2">
      <c r="A526" s="1"/>
      <c r="B526" s="4"/>
      <c r="C526" s="4" t="str">
        <f ca="1">IFERROR(__xludf.DUMMYFUNCTION("""COMPUTED_VALUE"""),"ДЗ №1")</f>
        <v>ДЗ №1</v>
      </c>
      <c r="D526" s="5" t="str">
        <f ca="1">IFERROR(__xludf.DUMMYFUNCTION("""COMPUTED_VALUE"""),"1️⃣ Опиши в бизнес-плане следующие блоки по проекту:
№3. Описание продукта и услуги
№4.2. Описание отрасли. Анализ рынка
⭕️Дедлайн: до трекерской встречи 🕛
Бизнес-план ты найдешь по ссылке: https://drive.google.com/file/d/1cnkpegqA9XwV-V07xrNuPf-xEaZd"&amp;"w7Cs/view?usp=sharing   
Скачай его себе на компьютер и начинай работу!")</f>
        <v>1️⃣ Опиши в бизнес-плане следующие блоки по проекту:
№3. Описание продукта и услуги
№4.2. Описание отрасли. Анализ рынка
⭕️Дедлайн: до трекерской встречи 🕛
Бизнес-план ты найдешь по ссылке: https://drive.google.com/file/d/1cnkpegqA9XwV-V07xrNuPf-xEaZdw7Cs/view?usp=sharing   
Скачай его себе на компьютер и начинай работу!</v>
      </c>
    </row>
    <row r="527" spans="1:4" ht="12.75" x14ac:dyDescent="0.2">
      <c r="A527" s="1"/>
      <c r="B527" s="4"/>
      <c r="C527" s="4" t="str">
        <f ca="1">IFERROR(__xludf.DUMMYFUNCTION("""COMPUTED_VALUE"""),"ДЗ №2")</f>
        <v>ДЗ №2</v>
      </c>
      <c r="D527" s="5" t="str">
        <f ca="1">IFERROR(__xludf.DUMMYFUNCTION("""COMPUTED_VALUE"""),"1️⃣ Заполни бизнес-модель Остервальдера 
Шаблон бизнес-модели ты найдешь в рабочей тетради
или по ссылке: https://docs.google.com/spreadsheets/d/1hrIbAQBFq0Up_tGqX7AvyVuwUQH7_tb-X7OhFVMK9Dw/edit?usp=sharing 
⭕️Дедлайн: до второй трекерской встречи 🕛")</f>
        <v>1️⃣ Заполни бизнес-модель Остервальдера 
Шаблон бизнес-модели ты найдешь в рабочей тетради
или по ссылке: https://docs.google.com/spreadsheets/d/1hrIbAQBFq0Up_tGqX7AvyVuwUQH7_tb-X7OhFVMK9Dw/edit?usp=sharing 
⭕️Дедлайн: до второй трекерской встречи 🕛</v>
      </c>
    </row>
    <row r="528" spans="1:4" ht="12.75" x14ac:dyDescent="0.2">
      <c r="A528" s="1"/>
      <c r="B528" s="4"/>
      <c r="C528" s="4" t="str">
        <f ca="1">IFERROR(__xludf.DUMMYFUNCTION("""COMPUTED_VALUE"""),"ДЗ №3")</f>
        <v>ДЗ №3</v>
      </c>
      <c r="D528" s="1" t="str">
        <f ca="1">IFERROR(__xludf.DUMMYFUNCTION("""COMPUTED_VALUE"""),"1️⃣ Опиши в бизнес-плане следующие блоки по проекту:
№4.3 Анализ конкурентов
№5. План маркетинга
⭕️Дедлайн : до второй трекерской встречи 🕛
Бизнес-план ты найдешь по ссылке: https://drive.google.com/file/d/1cnkpegqA9XwV-V07xrNuPf-xEaZdw7Cs/view?usp=sh"&amp;"aring  
Скачай его себе на компьютер")</f>
        <v>1️⃣ Опиши в бизнес-плане следующие блоки по проекту:
№4.3 Анализ конкурентов
№5. План маркетинга
⭕️Дедлайн : до второй трекерской встречи 🕛
Бизнес-план ты найдешь по ссылке: https://drive.google.com/file/d/1cnkpegqA9XwV-V07xrNuPf-xEaZdw7Cs/view?usp=sharing  
Скачай его себе на компьютер</v>
      </c>
    </row>
    <row r="529" spans="1:4" ht="38.25" x14ac:dyDescent="0.2">
      <c r="A529" s="1"/>
      <c r="B529" s="4" t="str">
        <f ca="1">IFERROR(__xludf.DUMMYFUNCTION("""COMPUTED_VALUE"""),"Женский бизнес 2.0")</f>
        <v>Женский бизнес 2.0</v>
      </c>
      <c r="C529" s="4" t="str">
        <f ca="1">IFERROR(__xludf.DUMMYFUNCTION("""COMPUTED_VALUE"""),"Выход из тени — личный бренд как повод выделить себя среди конкурентов")</f>
        <v>Выход из тени — личный бренд как повод выделить себя среди конкурентов</v>
      </c>
      <c r="D529" s="1" t="str">
        <f ca="1">IFERROR(__xludf.DUMMYFUNCTION("""COMPUTED_VALUE"""),"- Аудит личного бренда: что есть и что добавить?
- Основные этапы работы над личным брендом - Instagram тренды 2021
- Почему сегодня тема личного бренда актуальна для предпринимателей в двойне
- Самопрезентация, публичность, умение выступать - как важный "&amp;"навык предпринимателя
- С чего начать работу над личным брендом?
- В каких соц. сетях эффективнее всего развивать ЛБ?
- Instagram - тренд на видео, как создавать вовлечение в сторис
- Как увеличить стоимость своих услуг. Монетизация личного бренда
- Конкр"&amp;"етные шаги для практического внедрения. С чего начать")</f>
        <v>- Аудит личного бренда: что есть и что добавить?
- Основные этапы работы над личным брендом - Instagram тренды 2021
- Почему сегодня тема личного бренда актуальна для предпринимателей в двойне
- Самопрезентация, публичность, умение выступать - как важный навык предпринимателя
- С чего начать работу над личным брендом?
- В каких соц. сетях эффективнее всего развивать ЛБ?
- Instagram - тренд на видео, как создавать вовлечение в сторис
- Как увеличить стоимость своих услуг. Монетизация личного бренда
- Конкретные шаги для практического внедрения. С чего начать</v>
      </c>
    </row>
    <row r="530" spans="1:4" ht="51" x14ac:dyDescent="0.2">
      <c r="A530" s="1"/>
      <c r="B530" s="4" t="str">
        <f ca="1">IFERROR(__xludf.DUMMYFUNCTION("""COMPUTED_VALUE"""),"Женский бизнес 2.0")</f>
        <v>Женский бизнес 2.0</v>
      </c>
      <c r="C530" s="4" t="str">
        <f ca="1">IFERROR(__xludf.DUMMYFUNCTION("""COMPUTED_VALUE"""),"Групповая консультация ""Выход из тени — личный бренд как повод выделить себя среди конкурентов""")</f>
        <v>Групповая консультация "Выход из тени — личный бренд как повод выделить себя среди конкурентов"</v>
      </c>
      <c r="D530" s="1"/>
    </row>
    <row r="531" spans="1:4" ht="12.75" x14ac:dyDescent="0.2">
      <c r="A531" s="1"/>
      <c r="B531" s="4" t="str">
        <f ca="1">IFERROR(__xludf.DUMMYFUNCTION("""COMPUTED_VALUE"""),"Женский бизнес 2.0")</f>
        <v>Женский бизнес 2.0</v>
      </c>
      <c r="C531" s="4" t="str">
        <f ca="1">IFERROR(__xludf.DUMMYFUNCTION("""COMPUTED_VALUE"""),"Стратегия 2.0")</f>
        <v>Стратегия 2.0</v>
      </c>
      <c r="D531" s="1" t="str">
        <f ca="1">IFERROR(__xludf.DUMMYFUNCTION("""COMPUTED_VALUE"""),"- Аудит бизнеса: выявление ""узких"" мест и нахождение новых возможностей
- Польза от провалов и неудач, как работать с факапами
- Первый успех, а что дальше? Идеи для развития бизнеса: коллаборация, модернизация, диверсификация, дивестиция, франшиза
- Вы"&amp;"ход на новый уровень в бизнесе. Как подготовить себя к успеху")</f>
        <v>- Аудит бизнеса: выявление "узких" мест и нахождение новых возможностей
- Польза от провалов и неудач, как работать с факапами
- Первый успех, а что дальше? Идеи для развития бизнеса: коллаборация, модернизация, диверсификация, дивестиция, франшиза
- Выход на новый уровень в бизнесе. Как подготовить себя к успеху</v>
      </c>
    </row>
    <row r="532" spans="1:4" ht="51" x14ac:dyDescent="0.2">
      <c r="A532" s="1"/>
      <c r="B532" s="4" t="str">
        <f ca="1">IFERROR(__xludf.DUMMYFUNCTION("""COMPUTED_VALUE"""),"Женский бизнес 2.0")</f>
        <v>Женский бизнес 2.0</v>
      </c>
      <c r="C532" s="4" t="str">
        <f ca="1">IFERROR(__xludf.DUMMYFUNCTION("""COMPUTED_VALUE"""),"Как ""утеплить"" лояльность клиентов или построение клиентского сервиса через игрофикацию")</f>
        <v>Как "утеплить" лояльность клиентов или построение клиентского сервиса через игрофикацию</v>
      </c>
      <c r="D532" s="1" t="str">
        <f ca="1">IFERROR(__xludf.DUMMYFUNCTION("""COMPUTED_VALUE"""),"- Теория поколений клиентов и их потребности
- Клиентский сервис: понятие, составляющие
- Новые технологии привлечения и удержания клиентов через сервис
- Игрофикация как способ ""утепления"" лояльности и повышения активности клиентов")</f>
        <v>- Теория поколений клиентов и их потребности
- Клиентский сервис: понятие, составляющие
- Новые технологии привлечения и удержания клиентов через сервис
- Игрофикация как способ "утепления" лояльности и повышения активности клиентов</v>
      </c>
    </row>
    <row r="533" spans="1:4" ht="38.25" x14ac:dyDescent="0.2">
      <c r="A533" s="1"/>
      <c r="B533" s="4" t="str">
        <f ca="1">IFERROR(__xludf.DUMMYFUNCTION("""COMPUTED_VALUE"""),"Женский бизнес 2.0")</f>
        <v>Женский бизнес 2.0</v>
      </c>
      <c r="C533" s="4" t="str">
        <f ca="1">IFERROR(__xludf.DUMMYFUNCTION("""COMPUTED_VALUE"""),"Финансовое планирование как инструмент реализации личных желаний и прибыльности бизнеса")</f>
        <v>Финансовое планирование как инструмент реализации личных желаний и прибыльности бизнеса</v>
      </c>
      <c r="D533" s="1" t="str">
        <f ca="1">IFERROR(__xludf.DUMMYFUNCTION("""COMPUTED_VALUE"""),"- Бюджет, как правильно сформировать
- Где взять новые источники дохода? Источники привлечения денег
- Оптимизируем затраты: плановые и фактические показатели")</f>
        <v>- Бюджет, как правильно сформировать
- Где взять новые источники дохода? Источники привлечения денег
- Оптимизируем затраты: плановые и фактические показатели</v>
      </c>
    </row>
    <row r="534" spans="1:4" ht="12.75" x14ac:dyDescent="0.2">
      <c r="A534" s="1"/>
      <c r="B534" s="4" t="str">
        <f ca="1">IFERROR(__xludf.DUMMYFUNCTION("""COMPUTED_VALUE"""),"Женский бизнес 2.0")</f>
        <v>Женский бизнес 2.0</v>
      </c>
      <c r="C534" s="4" t="str">
        <f ca="1">IFERROR(__xludf.DUMMYFUNCTION("""COMPUTED_VALUE"""),"Команда 2.0")</f>
        <v>Команда 2.0</v>
      </c>
      <c r="D534" s="1" t="str">
        <f ca="1">IFERROR(__xludf.DUMMYFUNCTION("""COMPUTED_VALUE"""),"- Профилактика трудовых споров. Практические рекомендации
- Как повысить эффективность труда персонала
- Разработка и внедрение эффективной системы мотивации
- Современный руководитель. Развитие управленческих навыков")</f>
        <v>- Профилактика трудовых споров. Практические рекомендации
- Как повысить эффективность труда персонала
- Разработка и внедрение эффективной системы мотивации
- Современный руководитель. Развитие управленческих навыков</v>
      </c>
    </row>
    <row r="535" spans="1:4" ht="25.5" x14ac:dyDescent="0.2">
      <c r="A535" s="1"/>
      <c r="B535" s="4" t="str">
        <f ca="1">IFERROR(__xludf.DUMMYFUNCTION("""COMPUTED_VALUE"""),"Женский бизнес 2.0")</f>
        <v>Женский бизнес 2.0</v>
      </c>
      <c r="C535" s="4" t="str">
        <f ca="1">IFERROR(__xludf.DUMMYFUNCTION("""COMPUTED_VALUE"""),"Групповая консультация ""Команда 2.0""")</f>
        <v>Групповая консультация "Команда 2.0"</v>
      </c>
      <c r="D535" s="1"/>
    </row>
    <row r="536" spans="1:4" ht="25.5" x14ac:dyDescent="0.2">
      <c r="A536" s="1"/>
      <c r="B536" s="4" t="str">
        <f ca="1">IFERROR(__xludf.DUMMYFUNCTION("""COMPUTED_VALUE"""),"Женский бизнес 2.0")</f>
        <v>Женский бизнес 2.0</v>
      </c>
      <c r="C536" s="4" t="str">
        <f ca="1">IFERROR(__xludf.DUMMYFUNCTION("""COMPUTED_VALUE"""),"Тайм-менеджмент 2.0: баланс личного и рабочего")</f>
        <v>Тайм-менеджмент 2.0: баланс личного и рабочего</v>
      </c>
      <c r="D536" s="1" t="str">
        <f ca="1">IFERROR(__xludf.DUMMYFUNCTION("""COMPUTED_VALUE"""),"- Куда уходит время и для чего нужен time tracker
- Принципы эссенциализма
- Цифровой минимализм
- Как правильно расставлять приоритеты?
- Спринты и синхронизация
- Зоны ответственности")</f>
        <v>- Куда уходит время и для чего нужен time tracker
- Принципы эссенциализма
- Цифровой минимализм
- Как правильно расставлять приоритеты?
- Спринты и синхронизация
- Зоны ответственности</v>
      </c>
    </row>
    <row r="537" spans="1:4" ht="12.75" x14ac:dyDescent="0.2">
      <c r="A537" s="1"/>
      <c r="B537" s="4" t="str">
        <f ca="1">IFERROR(__xludf.DUMMYFUNCTION("""COMPUTED_VALUE"""),"Женский бизнес 2.0")</f>
        <v>Женский бизнес 2.0</v>
      </c>
      <c r="C537" s="4" t="str">
        <f ca="1">IFERROR(__xludf.DUMMYFUNCTION("""COMPUTED_VALUE"""),"Продажи по ЛЮБВИ 2.0")</f>
        <v>Продажи по ЛЮБВИ 2.0</v>
      </c>
      <c r="D537" s="1" t="str">
        <f ca="1">IFERROR(__xludf.DUMMYFUNCTION("""COMPUTED_VALUE"""),"- Как найти правильный подход к каждому клиенту, для получения наилучшего результата: Работа с клиентской базой
- Поиск и активное привлечение новых клиентов
- Как возвращать ушедших клиентов
- Индекс лояльности NPS
- Типология клиентов. Работа со сложны"&amp;"ми клиентами")</f>
        <v>- Как найти правильный подход к каждому клиенту, для получения наилучшего результата: Работа с клиентской базой
- Поиск и активное привлечение новых клиентов
- Как возвращать ушедших клиентов
- Индекс лояльности NPS
- Типология клиентов. Работа со сложными клиентами</v>
      </c>
    </row>
    <row r="538" spans="1:4" ht="25.5" x14ac:dyDescent="0.2">
      <c r="A538" s="1"/>
      <c r="B538" s="4" t="str">
        <f ca="1">IFERROR(__xludf.DUMMYFUNCTION("""COMPUTED_VALUE"""),"Женский бизнес 2.0")</f>
        <v>Женский бизнес 2.0</v>
      </c>
      <c r="C538" s="4" t="str">
        <f ca="1">IFERROR(__xludf.DUMMYFUNCTION("""COMPUTED_VALUE"""),"Групповая консультация ""Продажи по ЛЮБВИ 2.0""")</f>
        <v>Групповая консультация "Продажи по ЛЮБВИ 2.0"</v>
      </c>
      <c r="D538" s="1"/>
    </row>
    <row r="539" spans="1:4" ht="25.5" x14ac:dyDescent="0.2">
      <c r="A539" s="1"/>
      <c r="B539" s="4" t="str">
        <f ca="1">IFERROR(__xludf.DUMMYFUNCTION("""COMPUTED_VALUE"""),"Женский бизнес 2.0")</f>
        <v>Женский бизнес 2.0</v>
      </c>
      <c r="C539" s="4" t="str">
        <f ca="1">IFERROR(__xludf.DUMMYFUNCTION("""COMPUTED_VALUE"""),"Управление личной энергией. Биохакинг на практике")</f>
        <v>Управление личной энергией. Биохакинг на практике</v>
      </c>
      <c r="D539" s="1" t="str">
        <f ca="1">IFERROR(__xludf.DUMMYFUNCTION("""COMPUTED_VALUE"""),"- Влияние мозга на всю систему организма
- Что такое биохакинг?
- Почему бесполезно себя заставлять
- Причина отсутствия силы воли
- Причина лени и прокрастинации
- 5-ти уровненная система жизненной энергии
- Из чего состоит мотивация
- Важные гормоны для"&amp;" жизни и как их регулировать самостоятельно
- РАС - что это такое и как влияет на жизнь?
- Как достигать свои цели на 100%?")</f>
        <v>- Влияние мозга на всю систему организма
- Что такое биохакинг?
- Почему бесполезно себя заставлять
- Причина отсутствия силы воли
- Причина лени и прокрастинации
- 5-ти уровненная система жизненной энергии
- Из чего состоит мотивация
- Важные гормоны для жизни и как их регулировать самостоятельно
- РАС - что это такое и как влияет на жизнь?
- Как достигать свои цели на 100%?</v>
      </c>
    </row>
    <row r="540" spans="1:4" ht="12.75" x14ac:dyDescent="0.2">
      <c r="A540" s="1"/>
      <c r="B540" s="4" t="str">
        <f ca="1">IFERROR(__xludf.DUMMYFUNCTION("""COMPUTED_VALUE"""),"Женский бизнес 2.0")</f>
        <v>Женский бизнес 2.0</v>
      </c>
      <c r="C540" s="4" t="str">
        <f ca="1">IFERROR(__xludf.DUMMYFUNCTION("""COMPUTED_VALUE"""),"Бизнес-девичник")</f>
        <v>Бизнес-девичник</v>
      </c>
      <c r="D540" s="1" t="str">
        <f ca="1">IFERROR(__xludf.DUMMYFUNCTION("""COMPUTED_VALUE"""),"- Завершающее мероприятие с вручением сертификатов, фотосессией, музыкой, танцами и общением! ")</f>
        <v xml:space="preserve">- Завершающее мероприятие с вручением сертификатов, фотосессией, музыкой, танцами и общением! </v>
      </c>
    </row>
    <row r="541" spans="1:4" ht="25.5" x14ac:dyDescent="0.2">
      <c r="A541" s="1"/>
      <c r="B541" s="4"/>
      <c r="C541" s="4" t="str">
        <f ca="1">IFERROR(__xludf.DUMMYFUNCTION("""COMPUTED_VALUE"""),"Групповая консультация ""Стратегия 2.0""")</f>
        <v>Групповая консультация "Стратегия 2.0"</v>
      </c>
      <c r="D541" s="1"/>
    </row>
    <row r="542" spans="1:4" ht="25.5" x14ac:dyDescent="0.2">
      <c r="A542" s="1"/>
      <c r="B542" s="4" t="str">
        <f ca="1">IFERROR(__xludf.DUMMYFUNCTION("""COMPUTED_VALUE"""),"Трансформация отрасли. Индустрия красоты")</f>
        <v>Трансформация отрасли. Индустрия красоты</v>
      </c>
      <c r="C542" s="4" t="str">
        <f ca="1">IFERROR(__xludf.DUMMYFUNCTION("""COMPUTED_VALUE"""),"Личная эффективность vs Выгорание")</f>
        <v>Личная эффективность vs Выгорание</v>
      </c>
      <c r="D542" s="1" t="str">
        <f ca="1">IFERROR(__xludf.DUMMYFUNCTION("""COMPUTED_VALUE"""),"- Презентация практических и 
образовательных умений
- Практика: Участники объединяются в 
группы для работы с одной моделью: 
волосы, ногти, брови, макияж, одежда –
коллективная презентация работ
- Образование: Участники рассказывают 
свои достижения по "&amp;"обучающей 
программе в формате кейса
Подключение онлайн представителей 
брендов и тренеров программы")</f>
        <v>- Презентация практических и 
образовательных умений
- Практика: Участники объединяются в 
группы для работы с одной моделью: 
волосы, ногти, брови, макияж, одежда –
коллективная презентация работ
- Образование: Участники рассказывают 
свои достижения по обучающей 
программе в формате кейса
Подключение онлайн представителей 
брендов и тренеров программы</v>
      </c>
    </row>
    <row r="543" spans="1:4" ht="25.5" x14ac:dyDescent="0.2">
      <c r="A543" s="1"/>
      <c r="B543" s="4"/>
      <c r="C543" s="4" t="str">
        <f ca="1">IFERROR(__xludf.DUMMYFUNCTION("""COMPUTED_VALUE"""),"Личный бренд: личные и рабочие финансы")</f>
        <v>Личный бренд: личные и рабочие финансы</v>
      </c>
      <c r="D543" s="1" t="str">
        <f ca="1">IFERROR(__xludf.DUMMYFUNCTION("""COMPUTED_VALUE"""),"- Основные понятия финансового менеджмента
- Как эффективно вести личную систему доходов и расходов
- Какими инструментами пользоваться для увеличения среднего чека? 
- Как написать план достижения своей финансовой цели?")</f>
        <v>- Основные понятия финансового менеджмента
- Как эффективно вести личную систему доходов и расходов
- Какими инструментами пользоваться для увеличения среднего чека? 
- Как написать план достижения своей финансовой цели?</v>
      </c>
    </row>
    <row r="544" spans="1:4" ht="25.5" x14ac:dyDescent="0.2">
      <c r="A544" s="1"/>
      <c r="B544" s="4"/>
      <c r="C544" s="4" t="str">
        <f ca="1">IFERROR(__xludf.DUMMYFUNCTION("""COMPUTED_VALUE"""),"Мастер-классы от специалистов 4-х сфер (трендовые стрижки)")</f>
        <v>Мастер-классы от специалистов 4-х сфер (трендовые стрижки)</v>
      </c>
      <c r="D544" s="1" t="str">
        <f ca="1">IFERROR(__xludf.DUMMYFUNCTION("""COMPUTED_VALUE"""),"Трендовые стрижки
- Тренды, работы из новой коллекции Персона Академии
- Инструменты, их различия, типы и подбор относительно структуры волос. Знания о типах и структуре волос, на какие волосы можно применять различные инструменты и стайлинги, и что бывае"&amp;"т с волосами от работы с этими инструментами 
- Персонализация от стрижки до укладки. Как завершить образ быстрой, понятной для клиентов укладкой")</f>
        <v>Трендовые стрижки
- Тренды, работы из новой коллекции Персона Академии
- Инструменты, их различия, типы и подбор относительно структуры волос. Знания о типах и структуре волос, на какие волосы можно применять различные инструменты и стайлинги, и что бывает с волосами от работы с этими инструментами 
- Персонализация от стрижки до укладки. Как завершить образ быстрой, понятной для клиентов укладкой</v>
      </c>
    </row>
    <row r="545" spans="1:4" ht="25.5" x14ac:dyDescent="0.2">
      <c r="A545" s="1"/>
      <c r="B545" s="4"/>
      <c r="C545" s="4" t="str">
        <f ca="1">IFERROR(__xludf.DUMMYFUNCTION("""COMPUTED_VALUE"""),"Мастер-классы от специалистов 4-х сфер (макияж)")</f>
        <v>Мастер-классы от специалистов 4-х сфер (макияж)</v>
      </c>
      <c r="D545" s="1" t="str">
        <f ca="1">IFERROR(__xludf.DUMMYFUNCTION("""COMPUTED_VALUE"""),"Макияж
- Какие техники самые востребованные?
- Профессиональные секреты макияжа
- Как делать идеальный контент для визажиста и обрабатывать фотографии")</f>
        <v>Макияж
- Какие техники самые востребованные?
- Профессиональные секреты макияжа
- Как делать идеальный контент для визажиста и обрабатывать фотографии</v>
      </c>
    </row>
    <row r="546" spans="1:4" ht="25.5" x14ac:dyDescent="0.2">
      <c r="A546" s="1"/>
      <c r="B546" s="4"/>
      <c r="C546" s="4" t="str">
        <f ca="1">IFERROR(__xludf.DUMMYFUNCTION("""COMPUTED_VALUE"""),"Мастер-классы от специалистов 4-х сфер (нейл)")</f>
        <v>Мастер-классы от специалистов 4-х сфер (нейл)</v>
      </c>
      <c r="D546" s="1" t="str">
        <f ca="1">IFERROR(__xludf.DUMMYFUNCTION("""COMPUTED_VALUE"""),"Нейл
- Комбинированный или  пилочный маникюр, какой выбрать? 
- Инновационный ACRYLIC GEL : преимущества, особенности
- Прочные и красивые ногти - быстро! Моделирование ногтей ""от простого к сложному""
")</f>
        <v xml:space="preserve">Нейл
- Комбинированный или  пилочный маникюр, какой выбрать? 
- Инновационный ACRYLIC GEL : преимущества, особенности
- Прочные и красивые ногти - быстро! Моделирование ногтей "от простого к сложному"
</v>
      </c>
    </row>
    <row r="547" spans="1:4" ht="25.5" x14ac:dyDescent="0.2">
      <c r="A547" s="1"/>
      <c r="B547" s="4"/>
      <c r="C547" s="4" t="str">
        <f ca="1">IFERROR(__xludf.DUMMYFUNCTION("""COMPUTED_VALUE"""),"Мастер-класс по трендовым стрижкам и укладкам")</f>
        <v>Мастер-класс по трендовым стрижкам и укладкам</v>
      </c>
      <c r="D547" s="1" t="str">
        <f ca="1">IFERROR(__xludf.DUMMYFUNCTION("""COMPUTED_VALUE"""),"- Тренды, работы из новой коллекции Персона Академии
- Инструменты, их различия, типы и подбор относительно структуры волос. Знания о типах и структуре волос, на какие волосы можно применять различные инструменты и стайлинги, и что бывает с волосами от ра"&amp;"боты с этими инструментами 
- Персонализация от стрижки до укладки. Как завершить образ быстрой, понятной для клиентов укладкой")</f>
        <v>- Тренды, работы из новой коллекции Персона Академии
- Инструменты, их различия, типы и подбор относительно структуры волос. Знания о типах и структуре волос, на какие волосы можно применять различные инструменты и стайлинги, и что бывает с волосами от работы с этими инструментами 
- Персонализация от стрижки до укладки. Как завершить образ быстрой, понятной для клиентов укладкой</v>
      </c>
    </row>
    <row r="548" spans="1:4" ht="25.5" x14ac:dyDescent="0.2">
      <c r="A548" s="1"/>
      <c r="B548" s="4"/>
      <c r="C548" s="4" t="str">
        <f ca="1">IFERROR(__xludf.DUMMYFUNCTION("""COMPUTED_VALUE"""),"Мастер-класс по бровям, ресницам и визажу")</f>
        <v>Мастер-класс по бровям, ресницам и визажу</v>
      </c>
      <c r="D548" s="1" t="str">
        <f ca="1">IFERROR(__xludf.DUMMYFUNCTION("""COMPUTED_VALUE"""),"- Теория о бровях и ресницах
- Показ на модели ламинирование бровей
- Показ на модели ламинирование ресниц
- Теория о макияже
- Показ максияжа на моделе")</f>
        <v>- Теория о бровях и ресницах
- Показ на модели ламинирование бровей
- Показ на модели ламинирование ресниц
- Теория о макияже
- Показ максияжа на моделе</v>
      </c>
    </row>
    <row r="549" spans="1:4" ht="25.5" x14ac:dyDescent="0.2">
      <c r="A549" s="1"/>
      <c r="B549" s="4"/>
      <c r="C549" s="4" t="str">
        <f ca="1">IFERROR(__xludf.DUMMYFUNCTION("""COMPUTED_VALUE"""),"Мастер-классы от специалистов 4-х сфер (брови)")</f>
        <v>Мастер-классы от специалистов 4-х сфер (брови)</v>
      </c>
      <c r="D549" s="1" t="str">
        <f ca="1">IFERROR(__xludf.DUMMYFUNCTION("""COMPUTED_VALUE"""),"Брови 
- Ламинирование бровей
- Ламинирование ресниц")</f>
        <v>Брови 
- Ламинирование бровей
- Ламинирование ресниц</v>
      </c>
    </row>
    <row r="550" spans="1:4" ht="12.75" x14ac:dyDescent="0.2">
      <c r="A550" s="1"/>
      <c r="B550" s="4"/>
      <c r="C550" s="4" t="str">
        <f ca="1">IFERROR(__xludf.DUMMYFUNCTION("""COMPUTED_VALUE"""),"Мастер-класс по макияжу")</f>
        <v>Мастер-класс по макияжу</v>
      </c>
      <c r="D550" s="1" t="str">
        <f ca="1">IFERROR(__xludf.DUMMYFUNCTION("""COMPUTED_VALUE"""),"- Какие техники самые востребованные?
- Профессиональные секреты макияжа
- Как делать идеальный контент для визажиста и обрабатывать фотографии")</f>
        <v>- Какие техники самые востребованные?
- Профессиональные секреты макияжа
- Как делать идеальный контент для визажиста и обрабатывать фотографии</v>
      </c>
    </row>
    <row r="551" spans="1:4" ht="12.75" x14ac:dyDescent="0.2">
      <c r="A551" s="1"/>
      <c r="B551" s="4"/>
      <c r="C551" s="4" t="str">
        <f ca="1">IFERROR(__xludf.DUMMYFUNCTION("""COMPUTED_VALUE"""),"Мастер-класс по маникюру")</f>
        <v>Мастер-класс по маникюру</v>
      </c>
      <c r="D551" s="1" t="str">
        <f ca="1">IFERROR(__xludf.DUMMYFUNCTION("""COMPUTED_VALUE"""),"- Как повысить чек нейл-мастеру. Способы дополнительного дохода.
- Мастер-класс 1: «Увеличение прибыли за 15 минут. Внедряем Spa в работу» 
- Мастер-класс 2: «Нейл тренды, как способ отстроится от конкурентов. Быстрые, продаваемые дизайны, демонстрация по"&amp;"д камерой»""")</f>
        <v>- Как повысить чек нейл-мастеру. Способы дополнительного дохода.
- Мастер-класс 1: «Увеличение прибыли за 15 минут. Внедряем Spa в работу» 
- Мастер-класс 2: «Нейл тренды, как способ отстроится от конкурентов. Быстрые, продаваемые дизайны, демонстрация под камерой»"</v>
      </c>
    </row>
    <row r="552" spans="1:4" ht="12.75" x14ac:dyDescent="0.2">
      <c r="A552" s="1"/>
      <c r="B552" s="4"/>
      <c r="C552" s="4" t="str">
        <f ca="1">IFERROR(__xludf.DUMMYFUNCTION("""COMPUTED_VALUE"""),"Мастер-класс по маникюру ")</f>
        <v xml:space="preserve">Мастер-класс по маникюру </v>
      </c>
      <c r="D552" s="1" t="str">
        <f ca="1">IFERROR(__xludf.DUMMYFUNCTION("""COMPUTED_VALUE"""),"- Прогрессивные техники маникюра: Комбинированный, пилочный маникюр без порезов,
разбор техники работы
-Лайфхаки для идеального покрытия
- Основы подологии. Как работать с непростыми ногами
- Инновационный ACRYLIC GEL &amp; EASY GEL: преимущества, нюансы "&amp;"в работе
- Правила построения искусственного (смоделированного) ногтя, подготовка и подстановка
форм
- Особенности работы с верхними и нижними формами
- Быстрые техники укрепления и моделирования ногтей")</f>
        <v>- Прогрессивные техники маникюра: Комбинированный, пилочный маникюр без порезов,
разбор техники работы
-Лайфхаки для идеального покрытия
- Основы подологии. Как работать с непростыми ногами
- Инновационный ACRYLIC GEL &amp; EASY GEL: преимущества, нюансы в работе
- Правила построения искусственного (смоделированного) ногтя, подготовка и подстановка
форм
- Особенности работы с верхними и нижними формами
- Быстрые техники укрепления и моделирования ногтей</v>
      </c>
    </row>
    <row r="553" spans="1:4" ht="12.75" x14ac:dyDescent="0.2">
      <c r="A553" s="1"/>
      <c r="B553" s="4"/>
      <c r="C553" s="4" t="str">
        <f ca="1">IFERROR(__xludf.DUMMYFUNCTION("""COMPUTED_VALUE"""),"Мастер-класс по бровям")</f>
        <v>Мастер-класс по бровям</v>
      </c>
      <c r="D553" s="1" t="str">
        <f ca="1">IFERROR(__xludf.DUMMYFUNCTION("""COMPUTED_VALUE"""),"- Долговременная укладка бровей на составах Sexy Brow Perm и окрашивание красителем Bronsun
- Презентация продукции Innovator Cosmetics")</f>
        <v>- Долговременная укладка бровей на составах Sexy Brow Perm и окрашивание красителем Bronsun
- Презентация продукции Innovator Cosmetics</v>
      </c>
    </row>
    <row r="554" spans="1:4" ht="12.75" x14ac:dyDescent="0.2">
      <c r="A554" s="1"/>
      <c r="B554" s="4"/>
      <c r="C554" s="4" t="str">
        <f ca="1">IFERROR(__xludf.DUMMYFUNCTION("""COMPUTED_VALUE"""),"Мастер-класс по барберингу")</f>
        <v>Мастер-класс по барберингу</v>
      </c>
      <c r="D554" s="1" t="str">
        <f ca="1">IFERROR(__xludf.DUMMYFUNCTION("""COMPUTED_VALUE"""),"- Теория: современные инструменты, текстуры в работе барбера
- Показ стрижек на 3 моделях: малет, кроп и классика
- Актуальные образы сезона
- Как работать с костной структурой головы и в целом с образом?")</f>
        <v>- Теория: современные инструменты, текстуры в работе барбера
- Показ стрижек на 3 моделях: малет, кроп и классика
- Актуальные образы сезона
- Как работать с костной структурой головы и в целом с образом?</v>
      </c>
    </row>
    <row r="555" spans="1:4" ht="25.5" x14ac:dyDescent="0.2">
      <c r="A555" s="1"/>
      <c r="B555" s="4"/>
      <c r="C555" s="4" t="str">
        <f ca="1">IFERROR(__xludf.DUMMYFUNCTION("""COMPUTED_VALUE"""),"Финансы, бренд и личная эффективность")</f>
        <v>Финансы, бренд и личная эффективность</v>
      </c>
      <c r="D555" s="1" t="str">
        <f ca="1">IFERROR(__xludf.DUMMYFUNCTION("""COMPUTED_VALUE"""),"- Развитие личного бренда
- Как понять кто ваша целевая аудитория и как с ней работать? 
- Социальные сети как инструмент привлечения клиентов
- Личные и рабочие финансы. Инструменты увеличения выручки и оптимизации затрат
- Личная эффективность. Где найт"&amp;"и ресурсы для достижения целей?")</f>
        <v>- Развитие личного бренда
- Как понять кто ваша целевая аудитория и как с ней работать? 
- Социальные сети как инструмент привлечения клиентов
- Личные и рабочие финансы. Инструменты увеличения выручки и оптимизации затрат
- Личная эффективность. Где найти ресурсы для достижения целей?</v>
      </c>
    </row>
    <row r="556" spans="1:4" ht="25.5" x14ac:dyDescent="0.2">
      <c r="A556" s="1"/>
      <c r="B556" s="4"/>
      <c r="C556" s="4" t="str">
        <f ca="1">IFERROR(__xludf.DUMMYFUNCTION("""COMPUTED_VALUE"""),"Личная эффективность бьюти мастера")</f>
        <v>Личная эффективность бьюти мастера</v>
      </c>
      <c r="D556" s="1" t="str">
        <f ca="1">IFERROR(__xludf.DUMMYFUNCTION("""COMPUTED_VALUE"""),"- Определение целей и приоритетов. Работа с личными ресурсами
- Физическое и ментальное состояние и как от них зависит результат работы бьюти мастера?
- Как все успевать и чувствовать себя хорошо
- Развитие людей творческих профессий")</f>
        <v>- Определение целей и приоритетов. Работа с личными ресурсами
- Физическое и ментальное состояние и как от них зависит результат работы бьюти мастера?
- Как все успевать и чувствовать себя хорошо
- Развитие людей творческих профессий</v>
      </c>
    </row>
    <row r="557" spans="1:4" ht="12.75" x14ac:dyDescent="0.2">
      <c r="A557" s="1"/>
      <c r="B557" s="4"/>
      <c r="C557" s="4" t="str">
        <f ca="1">IFERROR(__xludf.DUMMYFUNCTION("""COMPUTED_VALUE"""),"Фотография на телефон")</f>
        <v>Фотография на телефон</v>
      </c>
      <c r="D557" s="1" t="str">
        <f ca="1">IFERROR(__xludf.DUMMYFUNCTION("""COMPUTED_VALUE"""),"- Как самостоятельно создавать красивую и правильную фотографию для вашего контента Instagram, индивидуального бренда или бизнеса?
- Создание фото с помошью вашего смартфона
- Работа с приложениями")</f>
        <v>- Как самостоятельно создавать красивую и правильную фотографию для вашего контента Instagram, индивидуального бренда или бизнеса?
- Создание фото с помошью вашего смартфона
- Работа с приложениями</v>
      </c>
    </row>
    <row r="558" spans="1:4" ht="25.5" x14ac:dyDescent="0.2">
      <c r="A558" s="1"/>
      <c r="B558" s="4"/>
      <c r="C558" s="4" t="str">
        <f ca="1">IFERROR(__xludf.DUMMYFUNCTION("""COMPUTED_VALUE"""),"Путь мастера и предпринимателя в бьюти")</f>
        <v>Путь мастера и предпринимателя в бьюти</v>
      </c>
      <c r="D558" s="1" t="str">
        <f ca="1">IFERROR(__xludf.DUMMYFUNCTION("""COMPUTED_VALUE"""),"- Новые возможности развития для мастера и собственника в бьюти индустрии
- Куда идти дальше и как зарабатывать больше?
- Вертикальное и горизонтальное развитие (по 4 направлениям) 
1. творческое и профессиональное развитие 
2. эффективность 
3. личный"&amp;" бренд 
4. личные финансы")</f>
        <v>- Новые возможности развития для мастера и собственника в бьюти индустрии
- Куда идти дальше и как зарабатывать больше?
- Вертикальное и горизонтальное развитие (по 4 направлениям) 
1. творческое и профессиональное развитие 
2. эффективность 
3. личный бренд 
4. личные финансы</v>
      </c>
    </row>
    <row r="559" spans="1:4" ht="25.5" x14ac:dyDescent="0.2">
      <c r="A559" s="1"/>
      <c r="B559" s="4"/>
      <c r="C559" s="4" t="str">
        <f ca="1">IFERROR(__xludf.DUMMYFUNCTION("""COMPUTED_VALUE"""),"Личный бренд. Имидж специалиста")</f>
        <v>Личный бренд. Имидж специалиста</v>
      </c>
      <c r="D559" s="1" t="str">
        <f ca="1">IFERROR(__xludf.DUMMYFUNCTION("""COMPUTED_VALUE"""),"- Зачем бьюти-специалисту выглядеть стильно?
- Составляющие стиля. Как найти свой стиль? 
- Ключевые составляющие любого образа
- Табу в одежде бьюти-мастеров
- 10 лайфхаков чтобы выглядеть стильно")</f>
        <v>- Зачем бьюти-специалисту выглядеть стильно?
- Составляющие стиля. Как найти свой стиль? 
- Ключевые составляющие любого образа
- Табу в одежде бьюти-мастеров
- 10 лайфхаков чтобы выглядеть стильно</v>
      </c>
    </row>
    <row r="560" spans="1:4" ht="25.5" x14ac:dyDescent="0.2">
      <c r="A560" s="1"/>
      <c r="B560" s="4"/>
      <c r="C560" s="4" t="str">
        <f ca="1">IFERROR(__xludf.DUMMYFUNCTION("""COMPUTED_VALUE"""),"Личный бренд: создание и развитие")</f>
        <v>Личный бренд: создание и развитие</v>
      </c>
      <c r="D560" s="1" t="str">
        <f ca="1">IFERROR(__xludf.DUMMYFUNCTION("""COMPUTED_VALUE"""),"- Шаги для создания личного бренда
- Изменение страницы в социальных сетях для оптимальной коммуникации с потенциальными клиентами")</f>
        <v>- Шаги для создания личного бренда
- Изменение страницы в социальных сетях для оптимальной коммуникации с потенциальными клиентами</v>
      </c>
    </row>
    <row r="561" spans="1:4" ht="25.5" x14ac:dyDescent="0.2">
      <c r="A561" s="1"/>
      <c r="B561" s="4"/>
      <c r="C561" s="4" t="str">
        <f ca="1">IFERROR(__xludf.DUMMYFUNCTION("""COMPUTED_VALUE"""),"Видео с платформы ДС 1
 Тема: Старт бизнеса")</f>
        <v>Видео с платформы ДС 1
 Тема: Старт бизнеса</v>
      </c>
      <c r="D561" s="5" t="str">
        <f ca="1">IFERROR(__xludf.DUMMYFUNCTION("""COMPUTED_VALUE"""),"Старт бизнеса с 0 до 300 000: пошаговый алгоритм действий
https://dasreda.ru/learn/courses/start-biznesa-s-0-do-300-000-poshagovyj-algoritm-dejstvij")</f>
        <v>Старт бизнеса с 0 до 300 000: пошаговый алгоритм действий
https://dasreda.ru/learn/courses/start-biznesa-s-0-do-300-000-poshagovyj-algoritm-dejstvij</v>
      </c>
    </row>
    <row r="562" spans="1:4" ht="38.25" x14ac:dyDescent="0.2">
      <c r="A562" s="1"/>
      <c r="B562" s="4"/>
      <c r="C562" s="4" t="str">
        <f ca="1">IFERROR(__xludf.DUMMYFUNCTION("""COMPUTED_VALUE"""),"Видео с платформы ДС 2
 Тема: Построение бизнес-процессов и стратегии")</f>
        <v>Видео с платформы ДС 2
 Тема: Построение бизнес-процессов и стратегии</v>
      </c>
      <c r="D562" s="1" t="str">
        <f ca="1">IFERROR(__xludf.DUMMYFUNCTION("""COMPUTED_VALUE"""),"Управление бизнес-процессами для малого бизнеса
https://dasreda.ru/learn/courses/upravlenie-biznes-processami-dlya-malogo-biznesa 
Построение бизнес-стратегии: 5 сильных кейсов
https://dasreda.ru/learn/courses/postroenie-biznes-strategii-5-silnyh-kejsov ")</f>
        <v xml:space="preserve">Управление бизнес-процессами для малого бизнеса
https://dasreda.ru/learn/courses/upravlenie-biznes-processami-dlya-malogo-biznesa 
Построение бизнес-стратегии: 5 сильных кейсов
https://dasreda.ru/learn/courses/postroenie-biznes-strategii-5-silnyh-kejsov </v>
      </c>
    </row>
    <row r="563" spans="1:4" ht="25.5" x14ac:dyDescent="0.2">
      <c r="A563" s="1"/>
      <c r="B563" s="4"/>
      <c r="C563" s="4" t="str">
        <f ca="1">IFERROR(__xludf.DUMMYFUNCTION("""COMPUTED_VALUE"""),"Видео с платформы ДС 3
 Тема: Управление финансами")</f>
        <v>Видео с платформы ДС 3
 Тема: Управление финансами</v>
      </c>
      <c r="D563" s="5" t="str">
        <f ca="1">IFERROR(__xludf.DUMMYFUNCTION("""COMPUTED_VALUE"""),"Личный финансовый план предпринимателя
https://dasreda.ru/learn/courses/finansovaya-gramotnost-v-biznese/lessons/lichnyj-finansovyj-plan-predprinimatelya
Что такое unit-экономика и как её посчитать
https://dasreda.ru/learn/courses/finansovaya-gramotnost-v"&amp;"-biznese/lessons/chto-takoe-unit-ekonomika-i-kak-eyo-poschitat")</f>
        <v>Личный финансовый план предпринимателя
https://dasreda.ru/learn/courses/finansovaya-gramotnost-v-biznese/lessons/lichnyj-finansovyj-plan-predprinimatelya
Что такое unit-экономика и как её посчитать
https://dasreda.ru/learn/courses/finansovaya-gramotnost-v-biznese/lessons/chto-takoe-unit-ekonomika-i-kak-eyo-poschitat</v>
      </c>
    </row>
    <row r="564" spans="1:4" ht="38.25" x14ac:dyDescent="0.2">
      <c r="A564" s="1"/>
      <c r="B564" s="4"/>
      <c r="C564" s="4" t="str">
        <f ca="1">IFERROR(__xludf.DUMMYFUNCTION("""COMPUTED_VALUE"""),"Видео с платформы ДС 4
 Тема: Стратегия привлечения клиентов")</f>
        <v>Видео с платформы ДС 4
 Тема: Стратегия привлечения клиентов</v>
      </c>
      <c r="D564" s="5" t="str">
        <f ca="1">IFERROR(__xludf.DUMMYFUNCTION("""COMPUTED_VALUE"""),"Каналы привлечения клиентов и их секреты
https://dasreda.ru/learn/courses/strategiya-privlecheniya-klientov-onlajn-i-offlajn/lessons/sekrety-privlecheniya-klientov-onlajn-i-offlajn ")</f>
        <v xml:space="preserve">Каналы привлечения клиентов и их секреты
https://dasreda.ru/learn/courses/strategiya-privlecheniya-klientov-onlajn-i-offlajn/lessons/sekrety-privlecheniya-klientov-onlajn-i-offlajn </v>
      </c>
    </row>
    <row r="565" spans="1:4" ht="38.25" x14ac:dyDescent="0.2">
      <c r="A565" s="1"/>
      <c r="B565" s="4"/>
      <c r="C565" s="4" t="str">
        <f ca="1">IFERROR(__xludf.DUMMYFUNCTION("""COMPUTED_VALUE"""),"Дополнительный курс ""Социальное предпринимательство""")</f>
        <v>Дополнительный курс "Социальное предпринимательство"</v>
      </c>
      <c r="D565" s="5" t="str">
        <f ca="1">IFERROR(__xludf.DUMMYFUNCTION("""COMPUTED_VALUE"""),"Социальное предпринимательство: от идеи до прибыли
https://dasreda.ru/learn/courses/socialnoe-predprinimatelstvo-ot-idei-do-pribyli1")</f>
        <v>Социальное предпринимательство: от идеи до прибыли
https://dasreda.ru/learn/courses/socialnoe-predprinimatelstvo-ot-idei-do-pribyli1</v>
      </c>
    </row>
    <row r="566" spans="1:4" ht="25.5" x14ac:dyDescent="0.2">
      <c r="A566" s="1"/>
      <c r="B566" s="4"/>
      <c r="C566" s="4" t="str">
        <f ca="1">IFERROR(__xludf.DUMMYFUNCTION("""COMPUTED_VALUE"""),"ДЗ №1 для подготовки к трекерской встрече №1")</f>
        <v>ДЗ №1 для подготовки к трекерской встрече №1</v>
      </c>
      <c r="D566" s="5" t="str">
        <f ca="1">IFERROR(__xludf.DUMMYFUNCTION("""COMPUTED_VALUE"""),"Опишите в бизнес-плане следующие блоки по проекту:
№3. Описание продукта и услуги
№4.2. Описание отрасли. Анализ рынка
⭕️Дедлайн: до трекерской встречи 🕛
Бизнес-план вы найдете по ссылке: https://drive.google.com/file/d/1cnkpegqA9XwV-V07xrNuPf-xEaZdw7C"&amp;"s/view?usp=sharing")</f>
        <v>Опишите в бизнес-плане следующие блоки по проекту:
№3. Описание продукта и услуги
№4.2. Описание отрасли. Анализ рынка
⭕️Дедлайн: до трекерской встречи 🕛
Бизнес-план вы найдете по ссылке: https://drive.google.com/file/d/1cnkpegqA9XwV-V07xrNuPf-xEaZdw7Cs/view?usp=sharing</v>
      </c>
    </row>
    <row r="567" spans="1:4" ht="12.75" x14ac:dyDescent="0.2">
      <c r="A567" s="1"/>
      <c r="B567" s="4"/>
      <c r="C567" s="4" t="str">
        <f ca="1">IFERROR(__xludf.DUMMYFUNCTION("""COMPUTED_VALUE"""),"ДЗ для разбора в ZOOM №1")</f>
        <v>ДЗ для разбора в ZOOM №1</v>
      </c>
      <c r="D567" s="1" t="str">
        <f ca="1">IFERROR(__xludf.DUMMYFUNCTION("""COMPUTED_VALUE"""),"Заполните бизнес-модель Остервальдера 
Шаблон бизнес-модели вы найдете по ссылке: https://docs.google.com/spreadsheets/d/1hrIbAQBFq0Up_tGqX7AvyVuwUQH7_tb-X7OhFVMK9Dw/edit?usp=sharing ")</f>
        <v xml:space="preserve">Заполните бизнес-модель Остервальдера 
Шаблон бизнес-модели вы найдете по ссылке: https://docs.google.com/spreadsheets/d/1hrIbAQBFq0Up_tGqX7AvyVuwUQH7_tb-X7OhFVMK9Dw/edit?usp=sharing </v>
      </c>
    </row>
    <row r="568" spans="1:4" ht="25.5" x14ac:dyDescent="0.2">
      <c r="A568" s="1"/>
      <c r="B568" s="4"/>
      <c r="C568" s="4" t="str">
        <f ca="1">IFERROR(__xludf.DUMMYFUNCTION("""COMPUTED_VALUE"""),"Разбор домашнего задания в zoom №1")</f>
        <v>Разбор домашнего задания в zoom №1</v>
      </c>
      <c r="D568" s="1" t="str">
        <f ca="1">IFERROR(__xludf.DUMMYFUNCTION("""COMPUTED_VALUE"""),"- Спикер дает общую развивающую обратную связь по проверенному домашнему заданию
- Обсуждаем все вопросы и сложности при подготовке бизнес-модели Остервальдера")</f>
        <v>- Спикер дает общую развивающую обратную связь по проверенному домашнему заданию
- Обсуждаем все вопросы и сложности при подготовке бизнес-модели Остервальдера</v>
      </c>
    </row>
    <row r="569" spans="1:4" ht="25.5" x14ac:dyDescent="0.2">
      <c r="A569" s="1"/>
      <c r="B569" s="4"/>
      <c r="C569" s="4" t="str">
        <f ca="1">IFERROR(__xludf.DUMMYFUNCTION("""COMPUTED_VALUE"""),"ДЗ №2 для подготовки к трекерской встрече №2")</f>
        <v>ДЗ №2 для подготовки к трекерской встрече №2</v>
      </c>
      <c r="D569" s="5" t="str">
        <f ca="1">IFERROR(__xludf.DUMMYFUNCTION("""COMPUTED_VALUE"""),"Опиши в бизнес-плане следующие блоки по проекту:
№4.3 Анализ конкурентов
№5. План маркетинга
⭕️Дедлайн : до второй трекерской встречи 🕛
Бизнес-план вы найдете по ссылке: https://drive.google.com/file/d/1cnkpegqA9XwV-V07xrNuPf-xEaZdw7Cs/view?usp=sharing")</f>
        <v>Опиши в бизнес-плане следующие блоки по проекту:
№4.3 Анализ конкурентов
№5. План маркетинга
⭕️Дедлайн : до второй трекерской встречи 🕛
Бизнес-план вы найдете по ссылке: https://drive.google.com/file/d/1cnkpegqA9XwV-V07xrNuPf-xEaZdw7Cs/view?usp=sharing</v>
      </c>
    </row>
    <row r="570" spans="1:4" ht="12.75" x14ac:dyDescent="0.2">
      <c r="A570" s="1"/>
      <c r="B570" s="4"/>
      <c r="C570" s="4" t="str">
        <f ca="1">IFERROR(__xludf.DUMMYFUNCTION("""COMPUTED_VALUE"""),"ДЗ для разбора в ZOOM №2")</f>
        <v>ДЗ для разбора в ZOOM №2</v>
      </c>
      <c r="D570" s="5" t="str">
        <f ca="1">IFERROR(__xludf.DUMMYFUNCTION("""COMPUTED_VALUE"""),"Опишите в бизнес-плане следующие блоки по проекту:
План производства
Финансовый план
Бизнес-план вы найдете по ссылке: https://drive.google.com/file/d/1cnkpegqA9XwV-V07xrNuPf-xEaZdw7Cs/view?usp=sharing")</f>
        <v>Опишите в бизнес-плане следующие блоки по проекту:
План производства
Финансовый план
Бизнес-план вы найдете по ссылке: https://drive.google.com/file/d/1cnkpegqA9XwV-V07xrNuPf-xEaZdw7Cs/view?usp=sharing</v>
      </c>
    </row>
    <row r="571" spans="1:4" ht="25.5" x14ac:dyDescent="0.2">
      <c r="A571" s="1"/>
      <c r="B571" s="4"/>
      <c r="C571" s="4" t="str">
        <f ca="1">IFERROR(__xludf.DUMMYFUNCTION("""COMPUTED_VALUE"""),"Разбор домашнего задания в zoom №2")</f>
        <v>Разбор домашнего задания в zoom №2</v>
      </c>
      <c r="D571" s="1" t="str">
        <f ca="1">IFERROR(__xludf.DUMMYFUNCTION("""COMPUTED_VALUE"""),"- Спикер дает общую развивающую обратную связь по проверенному домашнему заданию
- Обсуждаем все вопросы и сложности при подготовке плана производства и финансового плана")</f>
        <v>- Спикер дает общую развивающую обратную связь по проверенному домашнему заданию
- Обсуждаем все вопросы и сложности при подготовке плана производства и финансового плана</v>
      </c>
    </row>
    <row r="572" spans="1:4" ht="25.5" x14ac:dyDescent="0.2">
      <c r="A572" s="1"/>
      <c r="B572" s="4"/>
      <c r="C572" s="4" t="str">
        <f ca="1">IFERROR(__xludf.DUMMYFUNCTION("""COMPUTED_VALUE"""),"ДЗ для подготовки к трек-встрече №3")</f>
        <v>ДЗ для подготовки к трек-встрече №3</v>
      </c>
      <c r="D572" s="1" t="str">
        <f ca="1">IFERROR(__xludf.DUMMYFUNCTION("""COMPUTED_VALUE"""),"Подготовьте презентацию своего проекта для тестового выступления на трекерской встрече")</f>
        <v>Подготовьте презентацию своего проекта для тестового выступления на трекерской встрече</v>
      </c>
    </row>
    <row r="573" spans="1:4" ht="25.5" x14ac:dyDescent="0.2">
      <c r="A573" s="1"/>
      <c r="B573" s="4"/>
      <c r="C573" s="4" t="str">
        <f ca="1">IFERROR(__xludf.DUMMYFUNCTION("""COMPUTED_VALUE"""),"Встреча 3.   Трекинг в мини-группе")</f>
        <v>Встреча 3.   Трекинг в мини-группе</v>
      </c>
      <c r="D573" s="1" t="str">
        <f ca="1">IFERROR(__xludf.DUMMYFUNCTION("""COMPUTED_VALUE"""),"- Полезные рекомендации от трекера: Секреты публичных выступлений, как отпустить страх публики
- Участники проводят тестовое выступление перед официальной защитой проектов
- Трекер дает развивающую обратную связь")</f>
        <v>- Полезные рекомендации от трекера: Секреты публичных выступлений, как отпустить страх публики
- Участники проводят тестовое выступление перед официальной защитой проектов
- Трекер дает развивающую обратную связь</v>
      </c>
    </row>
    <row r="574" spans="1:4" ht="25.5" x14ac:dyDescent="0.2">
      <c r="A574" s="1"/>
      <c r="B574" s="4"/>
      <c r="C574" s="4" t="str">
        <f ca="1">IFERROR(__xludf.DUMMYFUNCTION("""COMPUTED_VALUE"""),"Подготовительная работа выставок")</f>
        <v>Подготовительная работа выставок</v>
      </c>
      <c r="D574" s="1" t="str">
        <f ca="1">IFERROR(__xludf.DUMMYFUNCTION("""COMPUTED_VALUE"""),"- Цели участия в международных выставках
- Типы выставочных мероприятий 
- Форматы участия
- Подготовительная работа
- Оформление стенда
- Подготовка промо материалов
- Выставочная команда
- Решение бытовых вопросов")</f>
        <v>- Цели участия в международных выставках
- Типы выставочных мероприятий 
- Форматы участия
- Подготовительная работа
- Оформление стенда
- Подготовка промо материалов
- Выставочная команда
- Решение бытовых вопросов</v>
      </c>
    </row>
    <row r="575" spans="1:4" ht="25.5" x14ac:dyDescent="0.2">
      <c r="A575" s="1"/>
      <c r="B575" s="4"/>
      <c r="C575" s="4" t="str">
        <f ca="1">IFERROR(__xludf.DUMMYFUNCTION("""COMPUTED_VALUE"""),"Участие в выставках и бизнес-миссиях")</f>
        <v>Участие в выставках и бизнес-миссиях</v>
      </c>
      <c r="D575" s="1" t="str">
        <f ca="1">IFERROR(__xludf.DUMMYFUNCTION("""COMPUTED_VALUE"""),"- Эффективные действия на выставке и бизнес-миссии
- Алгоритм взаимодействия с посетителями выставки
- Алгоритм взаимодействия с участниками бизнес-миссии")</f>
        <v>- Эффективные действия на выставке и бизнес-миссии
- Алгоритм взаимодействия с посетителями выставки
- Алгоритм взаимодействия с участниками бизнес-миссии</v>
      </c>
    </row>
    <row r="576" spans="1:4" ht="12.75" x14ac:dyDescent="0.2">
      <c r="A576" s="1"/>
      <c r="B576" s="4"/>
      <c r="C576" s="4" t="str">
        <f ca="1">IFERROR(__xludf.DUMMYFUNCTION("""COMPUTED_VALUE"""),"Поствыставочная работа")</f>
        <v>Поствыставочная работа</v>
      </c>
      <c r="D576" s="1" t="str">
        <f ca="1">IFERROR(__xludf.DUMMYFUNCTION("""COMPUTED_VALUE"""),"- Обработка полученных контактов
- Оценка результатов")</f>
        <v>- Обработка полученных контактов
- Оценка результатов</v>
      </c>
    </row>
    <row r="577" spans="1:4" ht="25.5" x14ac:dyDescent="0.2">
      <c r="A577" s="1"/>
      <c r="B577" s="4"/>
      <c r="C577" s="4" t="str">
        <f ca="1">IFERROR(__xludf.DUMMYFUNCTION("""COMPUTED_VALUE"""),"Типичные ошибки на выставках и бизнес-миссиях")</f>
        <v>Типичные ошибки на выставках и бизнес-миссиях</v>
      </c>
      <c r="D577" s="1" t="str">
        <f ca="1">IFERROR(__xludf.DUMMYFUNCTION("""COMPUTED_VALUE"""),"- Практические советы от спикеров, личный опыт
- Какие типичные ошибки совершаются на выставках и бизнес-миссиях?
- Завершение и ответы на вопросы")</f>
        <v>- Практические советы от спикеров, личный опыт
- Какие типичные ошибки совершаются на выставках и бизнес-миссиях?
- Завершение и ответы на вопросы</v>
      </c>
    </row>
    <row r="578" spans="1:4" ht="25.5" x14ac:dyDescent="0.2">
      <c r="A578" s="1"/>
      <c r="B578" s="4"/>
      <c r="C578" s="4" t="str">
        <f ca="1">IFERROR(__xludf.DUMMYFUNCTION("""COMPUTED_VALUE"""),"Видео с платформы ДС 5
 Тема: Работа с командой")</f>
        <v>Видео с платформы ДС 5
 Тема: Работа с командой</v>
      </c>
      <c r="D578" s="5" t="str">
        <f ca="1">IFERROR(__xludf.DUMMYFUNCTION("""COMPUTED_VALUE"""),"10 уроков, как создать и удержать команду
https://dasreda.ru/learn/courses/vebinar-10-urokov-kak-sozdat-i-uderzhat-komandu/lessons/10-urokov-kak-sozdat-i-uderzhat-komandu 
")</f>
        <v xml:space="preserve">10 уроков, как создать и удержать команду
https://dasreda.ru/learn/courses/vebinar-10-urokov-kak-sozdat-i-uderzhat-komandu/lessons/10-urokov-kak-sozdat-i-uderzhat-komandu 
</v>
      </c>
    </row>
    <row r="579" spans="1:4" ht="25.5" x14ac:dyDescent="0.2">
      <c r="A579" s="1"/>
      <c r="B579" s="4"/>
      <c r="C579" s="4" t="str">
        <f ca="1">IFERROR(__xludf.DUMMYFUNCTION("""COMPUTED_VALUE"""),"Видео с платформы ДС 6
Тема: Лидерство руководителя")</f>
        <v>Видео с платформы ДС 6
Тема: Лидерство руководителя</v>
      </c>
      <c r="D579" s="5" t="str">
        <f ca="1">IFERROR(__xludf.DUMMYFUNCTION("""COMPUTED_VALUE"""),"Лидерство в эпоху VUCA 
https://dasreda.ru/learn/courses/liderstvo-v-epohu-vuca
Три кита миллионера: фокус, скорость, мотивация
https://dasreda.ru/learn/courses/vebinar-tri-kita-millionera-fokus-skorost-motivaciya ")</f>
        <v xml:space="preserve">Лидерство в эпоху VUCA 
https://dasreda.ru/learn/courses/liderstvo-v-epohu-vuca
Три кита миллионера: фокус, скорость, мотивация
https://dasreda.ru/learn/courses/vebinar-tri-kita-millionera-fokus-skorost-motivaciya </v>
      </c>
    </row>
    <row r="580" spans="1:4" ht="12.75" x14ac:dyDescent="0.2">
      <c r="A580" s="1"/>
      <c r="B580" s="4"/>
      <c r="C580" s="4" t="str">
        <f ca="1">IFERROR(__xludf.DUMMYFUNCTION("""COMPUTED_VALUE"""),"Защита проектов")</f>
        <v>Защита проектов</v>
      </c>
      <c r="D580" s="1" t="str">
        <f ca="1">IFERROR(__xludf.DUMMYFUNCTION("""COMPUTED_VALUE"""),"- Презентация проектов участников
- Рекомендации и обратная связь от спикера")</f>
        <v>- Презентация проектов участников
- Рекомендации и обратная связь от спикера</v>
      </c>
    </row>
    <row r="581" spans="1:4" ht="38.25" x14ac:dyDescent="0.2">
      <c r="A581" s="1"/>
      <c r="B581" s="4"/>
      <c r="C581" s="4" t="str">
        <f ca="1">IFERROR(__xludf.DUMMYFUNCTION("""COMPUTED_VALUE"""),"Самозанятый: преимущества. Оставаться ли в тени и тумане? Все о самозанятых")</f>
        <v>Самозанятый: преимущества. Оставаться ли в тени и тумане? Все о самозанятых</v>
      </c>
      <c r="D581" s="1" t="str">
        <f ca="1">IFERROR(__xludf.DUMMYFUNCTION("""COMPUTED_VALUE"""),"– Преимущества и недостатки режима самозанятости
– ООО, ИП и самозанятые - как совместить?
– Самозанятость и работа по найму
– Как заключить договор с самозанятым?
– Что выгоднее: НПД или ИП на УСН?
– Налоговый вычет
– Ограничения самозанятого по выручке "&amp;"и видам деятельности
– Доход от подработок без рисков получения штрафа за незаконную предпринимательскую деятельность
– Господдержка для данной категории
– Возможность участия в тендерах. Изменения законодательства в пользу самозанятого
– Статус самозанят"&amp;"ого как возможность безопасно работать с банками, не бояться контрольно-надзорных органов
– Как самозанятым развивать свои услуги в регионах?
– Лайфхаки для самозанятых: как стартануть и найти клиентов?
– Актуальные вопросы во взаимодействии с клиентами
–"&amp;" Самозанятость и крупный бизнес - реально?")</f>
        <v>– Преимущества и недостатки режима самозанятости
– ООО, ИП и самозанятые - как совместить?
– Самозанятость и работа по найму
– Как заключить договор с самозанятым?
– Что выгоднее: НПД или ИП на УСН?
– Налоговый вычет
– Ограничения самозанятого по выручке и видам деятельности
– Доход от подработок без рисков получения штрафа за незаконную предпринимательскую деятельность
– Господдержка для данной категории
– Возможность участия в тендерах. Изменения законодательства в пользу самозанятого
– Статус самозанятого как возможность безопасно работать с банками, не бояться контрольно-надзорных органов
– Как самозанятым развивать свои услуги в регионах?
– Лайфхаки для самозанятых: как стартануть и найти клиентов?
– Актуальные вопросы во взаимодействии с клиентами
– Самозанятость и крупный бизнес - реально?</v>
      </c>
    </row>
    <row r="582" spans="1:4" ht="12.75" x14ac:dyDescent="0.2">
      <c r="A582" s="1"/>
      <c r="B582" s="4"/>
      <c r="C582" s="4" t="str">
        <f ca="1">IFERROR(__xludf.DUMMYFUNCTION("""COMPUTED_VALUE"""),"Личный бренд самозанятого")</f>
        <v>Личный бренд самозанятого</v>
      </c>
      <c r="D582" s="1" t="str">
        <f ca="1">IFERROR(__xludf.DUMMYFUNCTION("""COMPUTED_VALUE"""),"– Что такое личный бренд? 3 типа людей, которые его строят
– Концепция «Путь» или как с нуля построить личный бренд?
– 3 шага активации личного бренда. Практическое упражнение здесь и сейчас
– Путь героя или как психофизиология тела определяет стратегию п"&amp;"остроения личного бренда
– 7 типов вовлекающих сториз от которых невозможно оторваться или почему будут покупать именно у вас
- Что такое Упаковка? Зачем нужна Упаковка? Слои упаковки. Разбор каждого слоя.
- Техника 4U-отработка. Каналы для поиска партнер"&amp;"ов: сообщества, чаты и прочее; рекомендации по партнерству и работе. ")</f>
        <v xml:space="preserve">– Что такое личный бренд? 3 типа людей, которые его строят
– Концепция «Путь» или как с нуля построить личный бренд?
– 3 шага активации личного бренда. Практическое упражнение здесь и сейчас
– Путь героя или как психофизиология тела определяет стратегию построения личного бренда
– 7 типов вовлекающих сториз от которых невозможно оторваться или почему будут покупать именно у вас
- Что такое Упаковка? Зачем нужна Упаковка? Слои упаковки. Разбор каждого слоя.
- Техника 4U-отработка. Каналы для поиска партнеров: сообщества, чаты и прочее; рекомендации по партнерству и работе. </v>
      </c>
    </row>
    <row r="583" spans="1:4" ht="51" x14ac:dyDescent="0.2">
      <c r="A583" s="1"/>
      <c r="B583" s="4"/>
      <c r="C583" s="4" t="str">
        <f ca="1">IFERROR(__xludf.DUMMYFUNCTION("""COMPUTED_VALUE"""),"Личные продажи самозанятого. Как самозанятым продавать свои услуги государству и усилить свой бизнес")</f>
        <v>Личные продажи самозанятого. Как самозанятым продавать свои услуги государству и усилить свой бизнес</v>
      </c>
      <c r="D583" s="1" t="str">
        <f ca="1">IFERROR(__xludf.DUMMYFUNCTION("""COMPUTED_VALUE"""),"- Разберём этапы продаж в сегменте B2C и основы переговоров
- Опробуем на практике методы импровизации для работы с клиентами
- Разберём людей на типы с помощью техники «Винни Пух»
- Ознакомимся как снимать страх перед общением «не по шаблону», выработаем"&amp;" это умение
- Составим чек-лист подготовки к переговорам с партнерами, подрядчиками и клиентами
- Разберем как продавать свои услуги дорого
- Выведем технологию удвоения личных продаж
- Построим колесо баланса продавца
- Рассмотрим как бороться со ст"&amp;"рахом продаж")</f>
        <v>- Разберём этапы продаж в сегменте B2C и основы переговоров
- Опробуем на практике методы импровизации для работы с клиентами
- Разберём людей на типы с помощью техники «Винни Пух»
- Ознакомимся как снимать страх перед общением «не по шаблону», выработаем это умение
- Составим чек-лист подготовки к переговорам с партнерами, подрядчиками и клиентами
- Разберем как продавать свои услуги дорого
- Выведем технологию удвоения личных продаж
- Построим колесо баланса продавца
- Рассмотрим как бороться со страхом продаж</v>
      </c>
    </row>
    <row r="584" spans="1:4" ht="63.75" x14ac:dyDescent="0.2">
      <c r="A584" s="1"/>
      <c r="B584" s="4"/>
      <c r="C584" s="4" t="str">
        <f ca="1">IFERROR(__xludf.DUMMYFUNCTION("""COMPUTED_VALUE"""),"Продажи в онлайн. 50 инструментов, которые гарантированно дадут новых подписчиков и повысят продажи в Instagram")</f>
        <v>Продажи в онлайн. 50 инструментов, которые гарантированно дадут новых подписчиков и повысят продажи в Instagram</v>
      </c>
      <c r="D584" s="1" t="str">
        <f ca="1">IFERROR(__xludf.DUMMYFUNCTION("""COMPUTED_VALUE"""),"- ТОП-5 наиболее выгодных техник лидогенерации
- Холодные прямые продажи
- Контекстная реклама
- Большая тройка социальных сетей: Инстаграм + Фейсбук + Вконтакте
- Долгосрочные инструменты продвижения: SEO и посев
- Работа с блогерами и городскими сообщес"&amp;"твами
- Список приложений для создания контента
- Тренды социальных сетей, чтобы всегда попадать прямо в цель")</f>
        <v>- ТОП-5 наиболее выгодных техник лидогенерации
- Холодные прямые продажи
- Контекстная реклама
- Большая тройка социальных сетей: Инстаграм + Фейсбук + Вконтакте
- Долгосрочные инструменты продвижения: SEO и посев
- Работа с блогерами и городскими сообществами
- Список приложений для создания контента
- Тренды социальных сетей, чтобы всегда попадать прямо в цель</v>
      </c>
    </row>
    <row r="585" spans="1:4" ht="38.25" x14ac:dyDescent="0.2">
      <c r="A585" s="1"/>
      <c r="B585" s="4"/>
      <c r="C585" s="4" t="str">
        <f ca="1">IFERROR(__xludf.DUMMYFUNCTION("""COMPUTED_VALUE"""),"Практическое онлайн-занятие 1 по разбору ДЗ с ответами на вопросы и доработке проектов")</f>
        <v>Практическое онлайн-занятие 1 по разбору ДЗ с ответами на вопросы и доработке проектов</v>
      </c>
      <c r="D585" s="1" t="str">
        <f ca="1">IFERROR(__xludf.DUMMYFUNCTION("""COMPUTED_VALUE"""),"Опишите в заявке следующие блоки по проекту:
№1 Резюме
№2.1 Описание проекта
№ 2.2 Цели проекта
№2.3 Задачи проекта
№2.4 Срок реализации
№2.5 Описание характеристик
№3 Календарный план
Заявку вы найдете по ссылке: Заявку вы найдете по ссылке: https://do"&amp;"cs.google.com/document/d/1nt9X7IIEVRtKLo91IyL0yJbpwBfiIXL5/edit?usp=sharing&amp;ouid=102575089520534873834&amp;rtpof=true&amp;sd=true ")</f>
        <v xml:space="preserve">Опишите в заявке следующие блоки по проекту:
№1 Резюме
№2.1 Описание проекта
№ 2.2 Цели проекта
№2.3 Задачи проекта
№2.4 Срок реализации
№2.5 Описание характеристик
№3 Календарный план
Заявку вы найдете по ссылке: Заявку вы найдете по ссылке: https://docs.google.com/document/d/1nt9X7IIEVRtKLo91IyL0yJbpwBfiIXL5/edit?usp=sharing&amp;ouid=102575089520534873834&amp;rtpof=true&amp;sd=true </v>
      </c>
    </row>
    <row r="586" spans="1:4" ht="38.25" x14ac:dyDescent="0.2">
      <c r="A586" s="1"/>
      <c r="B586" s="4"/>
      <c r="C586" s="4" t="str">
        <f ca="1">IFERROR(__xludf.DUMMYFUNCTION("""COMPUTED_VALUE"""),"Практическое онлайн-занятие 2 по разбору ДЗ с ответами на вопросы и доработке проектов")</f>
        <v>Практическое онлайн-занятие 2 по разбору ДЗ с ответами на вопросы и доработке проектов</v>
      </c>
      <c r="D586" s="1" t="str">
        <f ca="1">IFERROR(__xludf.DUMMYFUNCTION("""COMPUTED_VALUE"""),"Опишите в заявке следующие блоки по проекту:
№2.5 Конкурентные преимущества 
№2.6 Стратегии продвижения проекта
Заявку вы найдете по ссылке: https://docs.google.com/document/d/1nt9X7IIEVRtKLo91IyL0yJbpwBfiIXL5/edit?usp=sharing&amp;ouid=1025750895205348"&amp;"73834&amp;rtpof=true&amp;sd=true ")</f>
        <v xml:space="preserve">Опишите в заявке следующие блоки по проекту:
№2.5 Конкурентные преимущества 
№2.6 Стратегии продвижения проекта
Заявку вы найдете по ссылке: https://docs.google.com/document/d/1nt9X7IIEVRtKLo91IyL0yJbpwBfiIXL5/edit?usp=sharing&amp;ouid=102575089520534873834&amp;rtpof=true&amp;sd=true </v>
      </c>
    </row>
    <row r="587" spans="1:4" ht="38.25" x14ac:dyDescent="0.2">
      <c r="A587" s="1"/>
      <c r="B587" s="4"/>
      <c r="C587" s="4" t="str">
        <f ca="1">IFERROR(__xludf.DUMMYFUNCTION("""COMPUTED_VALUE"""),"Практическое онлайн-занятие 3 по разбору ДЗ с ответами на вопросы и доработке проектов")</f>
        <v>Практическое онлайн-занятие 3 по разбору ДЗ с ответами на вопросы и доработке проектов</v>
      </c>
      <c r="D587" s="1" t="str">
        <f ca="1">IFERROR(__xludf.DUMMYFUNCTION("""COMPUTED_VALUE"""),"Опишите в заявке следующие блоки по проекту:
№4. Бюджет проекта
Заявку вы найдете по ссылке: https://docs.google.com/document/d/1nt9X7IIEVRtKLo91IyL0yJbpwBfiIXL5/edit?usp=sharing&amp;ouid=102575089520534873834&amp;rtpof=true&amp;sd=true ")</f>
        <v xml:space="preserve">Опишите в заявке следующие блоки по проекту:
№4. Бюджет проекта
Заявку вы найдете по ссылке: https://docs.google.com/document/d/1nt9X7IIEVRtKLo91IyL0yJbpwBfiIXL5/edit?usp=sharing&amp;ouid=102575089520534873834&amp;rtpof=true&amp;sd=true </v>
      </c>
    </row>
    <row r="588" spans="1:4" ht="38.25" x14ac:dyDescent="0.2">
      <c r="A588" s="1"/>
      <c r="B588" s="4"/>
      <c r="C588" s="4" t="str">
        <f ca="1">IFERROR(__xludf.DUMMYFUNCTION("""COMPUTED_VALUE"""),"Стратегия успешных продаж на российских и зарубежных маркетплейсах")</f>
        <v>Стратегия успешных продаж на российских и зарубежных маркетплейсах</v>
      </c>
      <c r="D588" s="1" t="str">
        <f ca="1">IFERROR(__xludf.DUMMYFUNCTION("""COMPUTED_VALUE"""),"- Общее понятие маркетплейсов. Тренды развития e-commerce. Ведение торговли из России
- Маркетплейсы и e-commerce. В чем отличие? 
- Бизнес-процессы маркетплейсов
- ТОП Российских маркетплейсов: wildberries, ozon, яндекс покупки, aliexpress : обзор, тренд"&amp;"ы, товары, возможности
- Построение стратегии масштабирования на маркетплейсах
- Алгоритм запуска продающихся продуктов на рынок
- Разбор кейсов продавцов
- Презентация трекинговой программы")</f>
        <v>- Общее понятие маркетплейсов. Тренды развития e-commerce. Ведение торговли из России
- Маркетплейсы и e-commerce. В чем отличие? 
- Бизнес-процессы маркетплейсов
- ТОП Российских маркетплейсов: wildberries, ozon, яндекс покупки, aliexpress : обзор, тренды, товары, возможности
- Построение стратегии масштабирования на маркетплейсах
- Алгоритм запуска продающихся продуктов на рынок
- Разбор кейсов продавцов
- Презентация трекинговой программы</v>
      </c>
    </row>
    <row r="589" spans="1:4" ht="38.25" x14ac:dyDescent="0.2">
      <c r="A589" s="1"/>
      <c r="B589" s="4"/>
      <c r="C589" s="4" t="str">
        <f ca="1">IFERROR(__xludf.DUMMYFUNCTION("""COMPUTED_VALUE"""),"Продажи на иностранных маркетплейсах Amazon, Ebay, Etsy, Lavky")</f>
        <v>Продажи на иностранных маркетплейсах Amazon, Ebay, Etsy, Lavky</v>
      </c>
      <c r="D589" s="1" t="str">
        <f ca="1">IFERROR(__xludf.DUMMYFUNCTION("""COMPUTED_VALUE"""),"- Какие товары нужны иностранному клиенту? Продуктовая линейка на полный календарный год. Менталитет и тренды
- Обзор крупнейших зарубежных маркетплейсов Amazon, Ebay, Etsy, Lavky
- Требования к поставщику
- Регистрация, правила работы площадки: комиссии "&amp;"и отгрузка, оформление товаров
- Кейсы российских продавцов
- Правила успешных продаж на международном рынке")</f>
        <v>- Какие товары нужны иностранному клиенту? Продуктовая линейка на полный календарный год. Менталитет и тренды
- Обзор крупнейших зарубежных маркетплейсов Amazon, Ebay, Etsy, Lavky
- Требования к поставщику
- Регистрация, правила работы площадки: комиссии и отгрузка, оформление товаров
- Кейсы российских продавцов
- Правила успешных продаж на международном рынке</v>
      </c>
    </row>
    <row r="590" spans="1:4" ht="25.5" x14ac:dyDescent="0.2">
      <c r="A590" s="1"/>
      <c r="B590" s="4"/>
      <c r="C590" s="4" t="str">
        <f ca="1">IFERROR(__xludf.DUMMYFUNCTION("""COMPUTED_VALUE"""),"Продажи на маркетплейсах. Подведение итогов программы")</f>
        <v>Продажи на маркетплейсах. Подведение итогов программы</v>
      </c>
      <c r="D590" s="1" t="str">
        <f ca="1">IFERROR(__xludf.DUMMYFUNCTION("""COMPUTED_VALUE"""),"- Как создать любимый бренд?
- Обзор товарных площадок: СДЭК маркет, Kazan Express
- Подведение итогов программы 
- Защита дорожной карты участников 
- Общие выводы и рекомендации по работе с российскими маркетплейсами")</f>
        <v>- Как создать любимый бренд?
- Обзор товарных площадок: СДЭК маркет, Kazan Express
- Подведение итогов программы 
- Защита дорожной карты участников 
- Общие выводы и рекомендации по работе с российскими маркетплейсами</v>
      </c>
    </row>
    <row r="591" spans="1:4" ht="25.5" x14ac:dyDescent="0.2">
      <c r="A591" s="1"/>
      <c r="B591" s="4"/>
      <c r="C591" s="4" t="str">
        <f ca="1">IFERROR(__xludf.DUMMYFUNCTION("""COMPUTED_VALUE"""),"Встреча 6. Мини-группа с трекером")</f>
        <v>Встреча 6. Мини-группа с трекером</v>
      </c>
      <c r="D591" s="1" t="str">
        <f ca="1">IFERROR(__xludf.DUMMYFUNCTION("""COMPUTED_VALUE"""),"- Подведение итогов трек-встреч
- Обратная связь от трекеров и рекомендации на дальнейшее развитие
- Защита дорожных карт от участников")</f>
        <v>- Подведение итогов трек-встреч
- Обратная связь от трекеров и рекомендации на дальнейшее развитие
- Защита дорожных карт от участников</v>
      </c>
    </row>
    <row r="592" spans="1:4" ht="25.5" x14ac:dyDescent="0.2">
      <c r="A592" s="1"/>
      <c r="B592" s="4"/>
      <c r="C592" s="4" t="str">
        <f ca="1">IFERROR(__xludf.DUMMYFUNCTION("""COMPUTED_VALUE"""),"Возможности для развития туристического бизнеса в регионе")</f>
        <v>Возможности для развития туристического бизнеса в регионе</v>
      </c>
      <c r="D592" s="1" t="str">
        <f ca="1">IFERROR(__xludf.DUMMYFUNCTION("""COMPUTED_VALUE"""),"- Вводная информация о программе, цели и результаты
- Возможности и ограничения кластера, что актуально создавать в пространстве? Отвечают региональные представители
- Что актуально целевой аудитории в пространстве? Анализ аудитории и рынка
- Тренды гости"&amp;"ничной, ресторанной и сувенирной отраслей 2021")</f>
        <v>- Вводная информация о программе, цели и результаты
- Возможности и ограничения кластера, что актуально создавать в пространстве? Отвечают региональные представители
- Что актуально целевой аудитории в пространстве? Анализ аудитории и рынка
- Тренды гостиничной, ресторанной и сувенирной отраслей 2021</v>
      </c>
    </row>
    <row r="593" spans="1:4" ht="25.5" x14ac:dyDescent="0.2">
      <c r="A593" s="1"/>
      <c r="B593" s="4"/>
      <c r="C593" s="4" t="str">
        <f ca="1">IFERROR(__xludf.DUMMYFUNCTION("""COMPUTED_VALUE"""),"Трекерская встреча №1 с отраслевыми экспертами")</f>
        <v>Трекерская встреча №1 с отраслевыми экспертами</v>
      </c>
      <c r="D593" s="1" t="str">
        <f ca="1">IFERROR(__xludf.DUMMYFUNCTION("""COMPUTED_VALUE"""),"- Знакомство в мини-группе
- Мастермайнд")</f>
        <v>- Знакомство в мини-группе
- Мастермайнд</v>
      </c>
    </row>
    <row r="594" spans="1:4" ht="38.25" x14ac:dyDescent="0.2">
      <c r="A594" s="1"/>
      <c r="B594" s="4"/>
      <c r="C594" s="4" t="str">
        <f ca="1">IFERROR(__xludf.DUMMYFUNCTION("""COMPUTED_VALUE"""),"Поиск бизнес-идеи и диверсификация туристического бизнеса")</f>
        <v>Поиск бизнес-идеи и диверсификация туристического бизнеса</v>
      </c>
      <c r="D594" s="1" t="str">
        <f ca="1">IFERROR(__xludf.DUMMYFUNCTION("""COMPUTED_VALUE"""),"- Генерация бизнес-идей в сфере туризма на основе трендов 2021
- Как определиться с идеей и тестировать гипотезы
- Диверсифицировать существующий бизнес или создавать новый?
- Типы стратегий диверсификации
")</f>
        <v xml:space="preserve">- Генерация бизнес-идей в сфере туризма на основе трендов 2021
- Как определиться с идеей и тестировать гипотезы
- Диверсифицировать существующий бизнес или создавать новый?
- Типы стратегий диверсификации
</v>
      </c>
    </row>
    <row r="595" spans="1:4" ht="25.5" x14ac:dyDescent="0.2">
      <c r="A595" s="1"/>
      <c r="B595" s="4"/>
      <c r="C595" s="4" t="str">
        <f ca="1">IFERROR(__xludf.DUMMYFUNCTION("""COMPUTED_VALUE"""),"Трекерская встреча №2 с бизнес-экспертами")</f>
        <v>Трекерская встреча №2 с бизнес-экспертами</v>
      </c>
      <c r="D595" s="1" t="str">
        <f ca="1">IFERROR(__xludf.DUMMYFUNCTION("""COMPUTED_VALUE"""),"- Ознакомление с бизнес-планом 
- Мастермайнд по бизнес-идеям")</f>
        <v>- Ознакомление с бизнес-планом 
- Мастермайнд по бизнес-идеям</v>
      </c>
    </row>
    <row r="596" spans="1:4" ht="12.75" x14ac:dyDescent="0.2">
      <c r="A596" s="1"/>
      <c r="B596" s="4"/>
      <c r="C596" s="4" t="str">
        <f ca="1">IFERROR(__xludf.DUMMYFUNCTION("""COMPUTED_VALUE"""),"Создание бизнес-модели")</f>
        <v>Создание бизнес-модели</v>
      </c>
      <c r="D596" s="1" t="str">
        <f ca="1">IFERROR(__xludf.DUMMYFUNCTION("""COMPUTED_VALUE"""),"- Техника рождения и описания Бизнес-Идей. «Убийцаы идей».
- Технология моделирования бизнеса А. Остервальдера, которую используют СберБанк, Apple, Uber, Газпром, Илон Маск
- Моделирование идеи проекта по технологии 10 компонентов. Определите Продукт, Цен"&amp;"ность, Аватары клиентов, Путь клиента, Каналы и форматы продаж, карту отношений с Партнерами и Поставщиками, Основной бизнес-процесс, Ресурсную карту проекта
- Откуда Доходы и куда Расходы. Прибыль есть? 
- UNO и рыночная стратегия для нового бизнеса или "&amp;"проекта развития предприятия")</f>
        <v>- Техника рождения и описания Бизнес-Идей. «Убийцаы идей».
- Технология моделирования бизнеса А. Остервальдера, которую используют СберБанк, Apple, Uber, Газпром, Илон Маск
- Моделирование идеи проекта по технологии 10 компонентов. Определите Продукт, Ценность, Аватары клиентов, Путь клиента, Каналы и форматы продаж, карту отношений с Партнерами и Поставщиками, Основной бизнес-процесс, Ресурсную карту проекта
- Откуда Доходы и куда Расходы. Прибыль есть? 
- UNO и рыночная стратегия для нового бизнеса или проекта развития предприятия</v>
      </c>
    </row>
    <row r="597" spans="1:4" ht="25.5" x14ac:dyDescent="0.2">
      <c r="A597" s="1"/>
      <c r="B597" s="4"/>
      <c r="C597" s="4" t="str">
        <f ca="1">IFERROR(__xludf.DUMMYFUNCTION("""COMPUTED_VALUE"""),"Трекерская встреча №3 с отраслевыми экспертами")</f>
        <v>Трекерская встреча №3 с отраслевыми экспертами</v>
      </c>
      <c r="D597" s="1" t="str">
        <f ca="1">IFERROR(__xludf.DUMMYFUNCTION("""COMPUTED_VALUE"""),"- Подготовка участников к отбору в акселератор
- Мастермайнд")</f>
        <v>- Подготовка участников к отбору в акселератор
- Мастермайнд</v>
      </c>
    </row>
    <row r="598" spans="1:4" ht="38.25" x14ac:dyDescent="0.2">
      <c r="A598" s="1"/>
      <c r="B598" s="4"/>
      <c r="C598" s="4" t="str">
        <f ca="1">IFERROR(__xludf.DUMMYFUNCTION("""COMPUTED_VALUE"""),"Формирование ценностного предложения. Как и зачем проводить CustDev?")</f>
        <v>Формирование ценностного предложения. Как и зачем проводить CustDev?</v>
      </c>
      <c r="D598" s="1" t="str">
        <f ca="1">IFERROR(__xludf.DUMMYFUNCTION("""COMPUTED_VALUE"""),"- Как создать ценностное предложение для покупателя? Шаблон предложения
- Как протестировать идею на целевой аудитории? Рекомендации для проведения CustDev
- Описание целевой аудитории, понимание потребностей и желаний аудитории")</f>
        <v>- Как создать ценностное предложение для покупателя? Шаблон предложения
- Как протестировать идею на целевой аудитории? Рекомендации для проведения CustDev
- Описание целевой аудитории, понимание потребностей и желаний аудитории</v>
      </c>
    </row>
    <row r="599" spans="1:4" ht="25.5" x14ac:dyDescent="0.2">
      <c r="A599" s="1"/>
      <c r="B599" s="4"/>
      <c r="C599" s="4" t="str">
        <f ca="1">IFERROR(__xludf.DUMMYFUNCTION("""COMPUTED_VALUE"""),"Трекерская встреча №4 с бизнес-экспертами")</f>
        <v>Трекерская встреча №4 с бизнес-экспертами</v>
      </c>
      <c r="D599" s="1" t="str">
        <f ca="1">IFERROR(__xludf.DUMMYFUNCTION("""COMPUTED_VALUE"""),"- Разбор проведенного CustDev целевой аудитории: инсайты, сложности
- Индивидуальные рекомендации от трекера каждому участнику
Домашнее задание: 
Учесть все рекомендации от трекера и внести изменения в проект")</f>
        <v>- Разбор проведенного CustDev целевой аудитории: инсайты, сложности
- Индивидуальные рекомендации от трекера каждому участнику
Домашнее задание: 
Учесть все рекомендации от трекера и внести изменения в проект</v>
      </c>
    </row>
    <row r="600" spans="1:4" ht="25.5" x14ac:dyDescent="0.2">
      <c r="A600" s="1"/>
      <c r="B600" s="4"/>
      <c r="C600" s="4" t="str">
        <f ca="1">IFERROR(__xludf.DUMMYFUNCTION("""COMPUTED_VALUE"""),"Тестирование гипотез и создание маркетинговой стратегии")</f>
        <v>Тестирование гипотез и создание маркетинговой стратегии</v>
      </c>
      <c r="D600" s="1" t="str">
        <f ca="1">IFERROR(__xludf.DUMMYFUNCTION("""COMPUTED_VALUE"""),"- Составление Customer journey map после проведения CustDev 
- Определение всех точек контакта бизнеса и клиента
- Как и зачем тестировать гипотезы с помощью цикла HADI?
- Как и зачем проводить анализ рынка? 
- Основные сильные и слабые стороны конкуренто"&amp;"в для нахождения своей ниши
- Как продвигать свой проект? Создание маркетинговой стратегии
- Инструменты привлечения клиентов")</f>
        <v>- Составление Customer journey map после проведения CustDev 
- Определение всех точек контакта бизнеса и клиента
- Как и зачем тестировать гипотезы с помощью цикла HADI?
- Как и зачем проводить анализ рынка? 
- Основные сильные и слабые стороны конкурентов для нахождения своей ниши
- Как продвигать свой проект? Создание маркетинговой стратегии
- Инструменты привлечения клиентов</v>
      </c>
    </row>
    <row r="601" spans="1:4" ht="12.75" x14ac:dyDescent="0.2">
      <c r="A601" s="1"/>
      <c r="B601" s="4"/>
      <c r="C601" s="4"/>
      <c r="D601" s="1"/>
    </row>
    <row r="602" spans="1:4" ht="25.5" x14ac:dyDescent="0.2">
      <c r="A602" s="1"/>
      <c r="B602" s="4"/>
      <c r="C602" s="4" t="str">
        <f ca="1">IFERROR(__xludf.DUMMYFUNCTION("""COMPUTED_VALUE"""),"Трекерская встреча №5 с отраслевыми экспертами")</f>
        <v>Трекерская встреча №5 с отраслевыми экспертами</v>
      </c>
      <c r="D602" s="1" t="str">
        <f ca="1">IFERROR(__xludf.DUMMYFUNCTION("""COMPUTED_VALUE"""),"- Разбор трекером заполненного бизнес-плана, вопросы от участников
- Разбор домашнего задания «Продай идею своего проекта», обсуждение возражений клиентов и переработка ценностного предложения на этой основе
- Индивидуальные рекомендации от трекера каждом"&amp;"у участнику")</f>
        <v>- Разбор трекером заполненного бизнес-плана, вопросы от участников
- Разбор домашнего задания «Продай идею своего проекта», обсуждение возражений клиентов и переработка ценностного предложения на этой основе
- Индивидуальные рекомендации от трекера каждому участнику</v>
      </c>
    </row>
    <row r="603" spans="1:4" ht="12.75" x14ac:dyDescent="0.2">
      <c r="A603" s="1"/>
      <c r="B603" s="4"/>
      <c r="C603" s="4" t="str">
        <f ca="1">IFERROR(__xludf.DUMMYFUNCTION("""COMPUTED_VALUE"""),"Финансовая модель проекта")</f>
        <v>Финансовая модель проекта</v>
      </c>
      <c r="D603" s="1" t="str">
        <f ca="1">IFERROR(__xludf.DUMMYFUNCTION("""COMPUTED_VALUE"""),"- Ключевые показатели эффективности проекта
- Расчет доходов и расходов проекта
- Расчет показателей рентабельности проекта
- Составление отчета о прибылях и убытках")</f>
        <v>- Ключевые показатели эффективности проекта
- Расчет доходов и расходов проекта
- Расчет показателей рентабельности проекта
- Составление отчета о прибылях и убытках</v>
      </c>
    </row>
    <row r="604" spans="1:4" ht="25.5" x14ac:dyDescent="0.2">
      <c r="A604" s="1"/>
      <c r="B604" s="4"/>
      <c r="C604" s="4" t="str">
        <f ca="1">IFERROR(__xludf.DUMMYFUNCTION("""COMPUTED_VALUE"""),"Трекерская встреча №6 с бизнес-экспертами")</f>
        <v>Трекерская встреча №6 с бизнес-экспертами</v>
      </c>
      <c r="D604" s="1" t="str">
        <f ca="1">IFERROR(__xludf.DUMMYFUNCTION("""COMPUTED_VALUE"""),"Программа:
- Разбор заполненного бизнес-плана, вопросы от участников
- Индивидуальные рекомендации от трекера каждому участнику")</f>
        <v>Программа:
- Разбор заполненного бизнес-плана, вопросы от участников
- Индивидуальные рекомендации от трекера каждому участнику</v>
      </c>
    </row>
    <row r="605" spans="1:4" ht="25.5" x14ac:dyDescent="0.2">
      <c r="A605" s="1"/>
      <c r="B605" s="4"/>
      <c r="C605" s="4" t="str">
        <f ca="1">IFERROR(__xludf.DUMMYFUNCTION("""COMPUTED_VALUE"""),"Трекерская встреча №7 с отраслевыми экспертами")</f>
        <v>Трекерская встреча №7 с отраслевыми экспертами</v>
      </c>
      <c r="D605" s="1" t="str">
        <f ca="1">IFERROR(__xludf.DUMMYFUNCTION("""COMPUTED_VALUE"""),"- Мастермайнд")</f>
        <v>- Мастермайнд</v>
      </c>
    </row>
    <row r="606" spans="1:4" ht="25.5" x14ac:dyDescent="0.2">
      <c r="A606" s="1"/>
      <c r="B606" s="4"/>
      <c r="C606" s="4" t="str">
        <f ca="1">IFERROR(__xludf.DUMMYFUNCTION("""COMPUTED_VALUE"""),"Создание презентации для Demo Day")</f>
        <v>Создание презентации для Demo Day</v>
      </c>
      <c r="D606" s="1" t="str">
        <f ca="1">IFERROR(__xludf.DUMMYFUNCTION("""COMPUTED_VALUE"""),"1 модуль: Инструменты структурирования контента 
- Работа с контентом: инструменты структурирования мысли и выделение главного на слайде
- MindMap: как ее использовать для подстраховки во время выступления
- Пирамида Минто: как построить убедительный расс"&amp;"каз
2 модуль: дизайн презентации для не дизайнеров 
- Лайфхаки быстрой верстки в Powerpoint
- Ресурсы для вдохновения примерами презентаций
- Типовые слайды и типичные ошибки: какие приемы использовать для создания красивой презентации 
- Ресурсы для поис"&amp;"ка бесплатных иконок и изображений")</f>
        <v>1 модуль: Инструменты структурирования контента 
- Работа с контентом: инструменты структурирования мысли и выделение главного на слайде
- MindMap: как ее использовать для подстраховки во время выступления
- Пирамида Минто: как построить убедительный рассказ
2 модуль: дизайн презентации для не дизайнеров 
- Лайфхаки быстрой верстки в Powerpoint
- Ресурсы для вдохновения примерами презентаций
- Типовые слайды и типичные ошибки: какие приемы использовать для создания красивой презентации 
- Ресурсы для поиска бесплатных иконок и изображений</v>
      </c>
    </row>
    <row r="607" spans="1:4" ht="25.5" x14ac:dyDescent="0.2">
      <c r="A607" s="1"/>
      <c r="B607" s="4"/>
      <c r="C607" s="4" t="str">
        <f ca="1">IFERROR(__xludf.DUMMYFUNCTION("""COMPUTED_VALUE"""),"Трекерская встреча №8 с бизнес-экспертами")</f>
        <v>Трекерская встреча №8 с бизнес-экспертами</v>
      </c>
      <c r="D607" s="1" t="str">
        <f ca="1">IFERROR(__xludf.DUMMYFUNCTION("""COMPUTED_VALUE"""),"- Разбор трекером презентации, вопросы от участников
- Индивидуальные рекомендации от трекера каждому участнику")</f>
        <v>- Разбор трекером презентации, вопросы от участников
- Индивидуальные рекомендации от трекера каждому участнику</v>
      </c>
    </row>
    <row r="608" spans="1:4" ht="12.75" x14ac:dyDescent="0.2">
      <c r="A608" s="1"/>
      <c r="B608" s="4"/>
      <c r="C608" s="4" t="str">
        <f ca="1">IFERROR(__xludf.DUMMYFUNCTION("""COMPUTED_VALUE"""),"Demo Day")</f>
        <v>Demo Day</v>
      </c>
      <c r="D608" s="1" t="str">
        <f ca="1">IFERROR(__xludf.DUMMYFUNCTION("""COMPUTED_VALUE"""),"Выступление участников перед экспертной комиссией")</f>
        <v>Выступление участников перед экспертной комиссией</v>
      </c>
    </row>
    <row r="609" spans="1:4" ht="25.5" x14ac:dyDescent="0.2">
      <c r="A609" s="1"/>
      <c r="B609" s="4" t="str">
        <f ca="1">IFERROR(__xludf.DUMMYFUNCTION("""COMPUTED_VALUE"""),"Продажи есть, возражений нет")</f>
        <v>Продажи есть, возражений нет</v>
      </c>
      <c r="C609" s="4" t="str">
        <f ca="1">IFERROR(__xludf.DUMMYFUNCTION("""COMPUTED_VALUE"""),"12 правил продаж в переписках, чатах и мессенджерах")</f>
        <v>12 правил продаж в переписках, чатах и мессенджерах</v>
      </c>
      <c r="D609" s="1" t="str">
        <f ca="1">IFERROR(__xludf.DUMMYFUNCTION("""COMPUTED_VALUE"""),"- Тренды продаж-2021
- 12 убийц продаж через переписку
- Как сделать аудит своих переписок
- Как отвечать на злободневный вопрос «Сколько стоит?»
- Активная переписка: как написать первому, чтобы не быть заблокированным
- Авторская технология ведения"&amp;" переписки без допроса
- Клиент-потеряшка: что с ним делать? ")</f>
        <v>- Тренды продаж-2021
- 12 убийц продаж через переписку
- Как сделать аудит своих переписок
- Как отвечать на злободневный вопрос «Сколько стоит?»
- Активная переписка: как написать первому, чтобы не быть заблокированным
- Авторская технология ведения переписки без допроса
- Клиент-потеряшка: что с ним делать? </v>
      </c>
    </row>
    <row r="610" spans="1:4" ht="25.5" x14ac:dyDescent="0.2">
      <c r="A610" s="1"/>
      <c r="B610" s="4" t="str">
        <f ca="1">IFERROR(__xludf.DUMMYFUNCTION("""COMPUTED_VALUE"""),"Продажи есть, возражений нет")</f>
        <v>Продажи есть, возражений нет</v>
      </c>
      <c r="C610" s="4" t="str">
        <f ca="1">IFERROR(__xludf.DUMMYFUNCTION("""COMPUTED_VALUE"""),"Активные и входящие звонки: методы увеличения конверсии ")</f>
        <v xml:space="preserve">Активные и входящие звонки: методы увеличения конверсии </v>
      </c>
      <c r="D610" s="1" t="str">
        <f ca="1">IFERROR(__xludf.DUMMYFUNCTION("""COMPUTED_VALUE"""),"- Влияние голоса и интонаций при телефонных продажах
-  Как произвести экспертное впечатление при входящем звонке
- Звонки по заявкам: что нужно для 100% конверсии
- Холодные звонки: еще работают или их уже можно похоронить
")</f>
        <v xml:space="preserve">- Влияние голоса и интонаций при телефонных продажах
-  Как произвести экспертное впечатление при входящем звонке
- Звонки по заявкам: что нужно для 100% конверсии
- Холодные звонки: еще работают или их уже можно похоронить
</v>
      </c>
    </row>
    <row r="611" spans="1:4" ht="25.5" x14ac:dyDescent="0.2">
      <c r="A611" s="1"/>
      <c r="B611" s="4" t="str">
        <f ca="1">IFERROR(__xludf.DUMMYFUNCTION("""COMPUTED_VALUE"""),"Продажи есть, возражений нет")</f>
        <v>Продажи есть, возражений нет</v>
      </c>
      <c r="C611" s="4" t="str">
        <f ca="1">IFERROR(__xludf.DUMMYFUNCTION("""COMPUTED_VALUE"""),"Как построить продажи на государственных площадках ")</f>
        <v xml:space="preserve">Как построить продажи на государственных площадках </v>
      </c>
      <c r="D611" s="1" t="str">
        <f ca="1">IFERROR(__xludf.DUMMYFUNCTION("""COMPUTED_VALUE"""),"- 3 источника информации, которые можно использовать для оценки своего бизнеса и анализа конкурентов
- Секреты выявления спроса госзаказчиков на товары и услуги
- Как сделать госкорпорацию своим клиентом?
- 4 авторские тактики участия в тендерах")</f>
        <v>- 3 источника информации, которые можно использовать для оценки своего бизнеса и анализа конкурентов
- Секреты выявления спроса госзаказчиков на товары и услуги
- Как сделать госкорпорацию своим клиентом?
- 4 авторские тактики участия в тендерах</v>
      </c>
    </row>
    <row r="612" spans="1:4" ht="25.5" x14ac:dyDescent="0.2">
      <c r="A612" s="1"/>
      <c r="B612" s="4" t="str">
        <f ca="1">IFERROR(__xludf.DUMMYFUNCTION("""COMPUTED_VALUE"""),"Продажи есть, возражений нет")</f>
        <v>Продажи есть, возражений нет</v>
      </c>
      <c r="C612" s="4" t="str">
        <f ca="1">IFERROR(__xludf.DUMMYFUNCTION("""COMPUTED_VALUE"""),"Как продавать дороже, если клиенты продают то же самое ")</f>
        <v xml:space="preserve">Как продавать дороже, если клиенты продают то же самое </v>
      </c>
      <c r="D612" s="1" t="str">
        <f ca="1">IFERROR(__xludf.DUMMYFUNCTION("""COMPUTED_VALUE"""),"- Авторские методы презентации и убеждения
- Презентация с помощью страха
- Техника продаж ЦИРК и ТАНКИ
- Эмоциональные продажи: как клиент принимает решение
- Техника «4 почему»
- Секретная техника продаж")</f>
        <v>- Авторские методы презентации и убеждения
- Презентация с помощью страха
- Техника продаж ЦИРК и ТАНКИ
- Эмоциональные продажи: как клиент принимает решение
- Техника «4 почему»
- Секретная техника продаж</v>
      </c>
    </row>
    <row r="613" spans="1:4" ht="25.5" x14ac:dyDescent="0.2">
      <c r="A613" s="1"/>
      <c r="B613" s="4" t="str">
        <f ca="1">IFERROR(__xludf.DUMMYFUNCTION("""COMPUTED_VALUE"""),"Продажи есть, возражений нет")</f>
        <v>Продажи есть, возражений нет</v>
      </c>
      <c r="C613" s="4" t="str">
        <f ca="1">IFERROR(__xludf.DUMMYFUNCTION("""COMPUTED_VALUE"""),"Алгоритм продаж на видеовстрече ")</f>
        <v xml:space="preserve">Алгоритм продаж на видеовстрече </v>
      </c>
      <c r="D613" s="1" t="str">
        <f ca="1">IFERROR(__xludf.DUMMYFUNCTION("""COMPUTED_VALUE"""),"- Продажи по Скайпу, Зуму, Вотсапу и другим инструментам видеосвязи 
- 5 отличий продаж по видео от продажи на личной встрече
- Как вызвать доверие с первой секунды или первого кадра
- Структура проведения видео встречи
- Помощник продаж - технические лай"&amp;"фхаки")</f>
        <v>- Продажи по Скайпу, Зуму, Вотсапу и другим инструментам видеосвязи 
- 5 отличий продаж по видео от продажи на личной встрече
- Как вызвать доверие с первой секунды или первого кадра
- Структура проведения видео встречи
- Помощник продаж - технические лайфхаки</v>
      </c>
    </row>
    <row r="614" spans="1:4" ht="12.75" x14ac:dyDescent="0.2">
      <c r="A614" s="1"/>
      <c r="B614" s="4" t="str">
        <f ca="1">IFERROR(__xludf.DUMMYFUNCTION("""COMPUTED_VALUE"""),"Продажи есть, возражений нет")</f>
        <v>Продажи есть, возражений нет</v>
      </c>
      <c r="C614" s="4" t="str">
        <f ca="1">IFERROR(__xludf.DUMMYFUNCTION("""COMPUTED_VALUE"""),"Психология переговоров и продаж  ")</f>
        <v xml:space="preserve">Психология переговоров и продаж  </v>
      </c>
      <c r="D614" s="1" t="str">
        <f ca="1">IFERROR(__xludf.DUMMYFUNCTION("""COMPUTED_VALUE"""),"- Манипуляции и контр-манипуляции в продажах
- Алгоритмы корректировки переговорного веса
- Профилактика выгорания и управление стрессом 
- Технологии разведки и долгосрочной «вербовки» в продажах")</f>
        <v>- Манипуляции и контр-манипуляции в продажах
- Алгоритмы корректировки переговорного веса
- Профилактика выгорания и управление стрессом 
- Технологии разведки и долгосрочной «вербовки» в продажах</v>
      </c>
    </row>
    <row r="615" spans="1:4" ht="25.5" x14ac:dyDescent="0.2">
      <c r="A615" s="1"/>
      <c r="B615" s="4" t="str">
        <f ca="1">IFERROR(__xludf.DUMMYFUNCTION("""COMPUTED_VALUE"""),"Продажи есть, возражений нет")</f>
        <v>Продажи есть, возражений нет</v>
      </c>
      <c r="C615" s="4" t="str">
        <f ca="1">IFERROR(__xludf.DUMMYFUNCTION("""COMPUTED_VALUE"""),"Стратегия продаж на маркетплейсах ")</f>
        <v xml:space="preserve">Стратегия продаж на маркетплейсах </v>
      </c>
      <c r="D615" s="1" t="str">
        <f ca="1">IFERROR(__xludf.DUMMYFUNCTION("""COMPUTED_VALUE"""),"- Создание продающей стратегии для товара
- Практические кейсы
- Свой товарный бренд - от выбора товара до упаковки
- Обзор крупнейших маркетплейсов
- ТОП правил успешных продаж на электронных платформах")</f>
        <v>- Создание продающей стратегии для товара
- Практические кейсы
- Свой товарный бренд - от выбора товара до упаковки
- Обзор крупнейших маркетплейсов
- ТОП правил успешных продаж на электронных платформах</v>
      </c>
    </row>
    <row r="616" spans="1:4" ht="25.5" x14ac:dyDescent="0.2">
      <c r="A616" s="1"/>
      <c r="B616" s="4" t="str">
        <f ca="1">IFERROR(__xludf.DUMMYFUNCTION("""COMPUTED_VALUE"""),"Продажи есть, возражений нет")</f>
        <v>Продажи есть, возражений нет</v>
      </c>
      <c r="C616" s="4" t="str">
        <f ca="1">IFERROR(__xludf.DUMMYFUNCTION("""COMPUTED_VALUE"""),"Как привлекать клиентов через социальные сети ")</f>
        <v xml:space="preserve">Как привлекать клиентов через социальные сети </v>
      </c>
      <c r="D616" s="1" t="str">
        <f ca="1">IFERROR(__xludf.DUMMYFUNCTION("""COMPUTED_VALUE"""),"- С чего начать? Стратегия развития в соц. сетях 
- Воронка продаж 
- Продуктовая линейка в соц. сетях
- Продвижение в соц. сетях (YouTube, Инстаграм, Тик-ток и др.)
")</f>
        <v xml:space="preserve">- С чего начать? Стратегия развития в соц. сетях 
- Воронка продаж 
- Продуктовая линейка в соц. сетях
- Продвижение в соц. сетях (YouTube, Инстаграм, Тик-ток и др.)
</v>
      </c>
    </row>
    <row r="617" spans="1:4" ht="25.5" x14ac:dyDescent="0.2">
      <c r="A617" s="1"/>
      <c r="B617" s="4" t="str">
        <f ca="1">IFERROR(__xludf.DUMMYFUNCTION("""COMPUTED_VALUE"""),"Продажи есть, возражений нет")</f>
        <v>Продажи есть, возражений нет</v>
      </c>
      <c r="C617" s="4" t="str">
        <f ca="1">IFERROR(__xludf.DUMMYFUNCTION("""COMPUTED_VALUE"""),"Тренинг «Возражений.NET- Продажи есть» ")</f>
        <v xml:space="preserve">Тренинг «Возражений.NET- Продажи есть» </v>
      </c>
      <c r="D617" s="1" t="str">
        <f ca="1">IFERROR(__xludf.DUMMYFUNCTION("""COMPUTED_VALUE"""),"-3 вида возражений
- Природа возражений
- Готовые шаблоны для ответов на популярные возражения («Дорого», «Подумаю», «У других дешевле» и др.)
- Авторская технология по работе с возражениями «ПУД» 
- Практика по отработке специфических возражений")</f>
        <v>-3 вида возражений
- Природа возражений
- Готовые шаблоны для ответов на популярные возражения («Дорого», «Подумаю», «У других дешевле» и др.)
- Авторская технология по работе с возражениями «ПУД» 
- Практика по отработке специфических возражений</v>
      </c>
    </row>
    <row r="618" spans="1:4" ht="51" x14ac:dyDescent="0.2">
      <c r="A618" s="1"/>
      <c r="B618" s="4"/>
      <c r="C618" s="4" t="str">
        <f ca="1">IFERROR(__xludf.DUMMYFUNCTION("""COMPUTED_VALUE"""),"Самостоятельная работа после темы ""Возможности для развития туристического бизнеса в регионе""")</f>
        <v>Самостоятельная работа после темы "Возможности для развития туристического бизнеса в регионе"</v>
      </c>
      <c r="D618" s="1" t="str">
        <f ca="1">IFERROR(__xludf.DUMMYFUNCTION("""COMPUTED_VALUE"""),"Домашнее задание:
1.        Используя модель SWOT-анализа зафиксируйте все внешние факторы пространства (возможности и угрозы)")</f>
        <v>Домашнее задание:
1.        Используя модель SWOT-анализа зафиксируйте все внешние факторы пространства (возможности и угрозы)</v>
      </c>
    </row>
    <row r="619" spans="1:4" ht="25.5" x14ac:dyDescent="0.2">
      <c r="A619" s="1"/>
      <c r="B619" s="4"/>
      <c r="C619" s="4" t="str">
        <f ca="1">IFERROR(__xludf.DUMMYFUNCTION("""COMPUTED_VALUE"""),"Самостоятельная работа после трекерской встречи №1")</f>
        <v>Самостоятельная работа после трекерской встречи №1</v>
      </c>
      <c r="D619" s="1" t="str">
        <f ca="1">IFERROR(__xludf.DUMMYFUNCTION("""COMPUTED_VALUE"""),"Домашнее задание в разработке")</f>
        <v>Домашнее задание в разработке</v>
      </c>
    </row>
    <row r="620" spans="1:4" ht="51" x14ac:dyDescent="0.2">
      <c r="A620" s="1"/>
      <c r="B620" s="4"/>
      <c r="C620" s="4" t="str">
        <f ca="1">IFERROR(__xludf.DUMMYFUNCTION("""COMPUTED_VALUE"""),"Самостоятельная работа после темы ""Поиск бизнес-идеи и диверсификация туристического бизнеса""")</f>
        <v>Самостоятельная работа после темы "Поиск бизнес-идеи и диверсификация туристического бизнеса"</v>
      </c>
      <c r="D620" s="1" t="str">
        <f ca="1">IFERROR(__xludf.DUMMYFUNCTION("""COMPUTED_VALUE"""),"Домашнее задание:
1.        Используя модель SWOT-анализа зафиксируйте все внутренние факторы вашей идеи (сильные и слабые стороны)
2.        Соотнесите сильные и слабые стороны с возможностями и угрозами, сделайте вывод")</f>
        <v>Домашнее задание:
1.        Используя модель SWOT-анализа зафиксируйте все внутренние факторы вашей идеи (сильные и слабые стороны)
2.        Соотнесите сильные и слабые стороны с возможностями и угрозами, сделайте вывод</v>
      </c>
    </row>
    <row r="621" spans="1:4" ht="25.5" x14ac:dyDescent="0.2">
      <c r="A621" s="1"/>
      <c r="B621" s="4"/>
      <c r="C621" s="4" t="str">
        <f ca="1">IFERROR(__xludf.DUMMYFUNCTION("""COMPUTED_VALUE"""),"Самостоятельная работа после трекерской встречи № 2")</f>
        <v>Самостоятельная работа после трекерской встречи № 2</v>
      </c>
      <c r="D621" s="1" t="str">
        <f ca="1">IFERROR(__xludf.DUMMYFUNCTION("""COMPUTED_VALUE"""),"Домашнее задание в разработке")</f>
        <v>Домашнее задание в разработке</v>
      </c>
    </row>
    <row r="622" spans="1:4" ht="25.5" x14ac:dyDescent="0.2">
      <c r="A622" s="1"/>
      <c r="B622" s="4"/>
      <c r="C622" s="4" t="str">
        <f ca="1">IFERROR(__xludf.DUMMYFUNCTION("""COMPUTED_VALUE"""),"Самостоятельная работа после темы ""Создание бизнес-модели""")</f>
        <v>Самостоятельная работа после темы "Создание бизнес-модели"</v>
      </c>
      <c r="D622" s="1" t="str">
        <f ca="1">IFERROR(__xludf.DUMMYFUNCTION("""COMPUTED_VALUE"""),"Домашнее задание:
1.        Заполните бизнес-модель Остервальдера по своему проекту")</f>
        <v>Домашнее задание:
1.        Заполните бизнес-модель Остервальдера по своему проекту</v>
      </c>
    </row>
    <row r="623" spans="1:4" ht="25.5" x14ac:dyDescent="0.2">
      <c r="A623" s="1"/>
      <c r="B623" s="4"/>
      <c r="C623" s="4" t="str">
        <f ca="1">IFERROR(__xludf.DUMMYFUNCTION("""COMPUTED_VALUE"""),"Самостоятельная работа после трекерской встречи №3")</f>
        <v>Самостоятельная работа после трекерской встречи №3</v>
      </c>
      <c r="D623" s="1" t="str">
        <f ca="1">IFERROR(__xludf.DUMMYFUNCTION("""COMPUTED_VALUE"""),"Домашнее задание: 
1.        Учесть все рекомендации от трекера и внести изменения в бизнес-модель")</f>
        <v>Домашнее задание: 
1.        Учесть все рекомендации от трекера и внести изменения в бизнес-модель</v>
      </c>
    </row>
    <row r="624" spans="1:4" ht="51" x14ac:dyDescent="0.2">
      <c r="A624" s="1"/>
      <c r="B624" s="4"/>
      <c r="C624" s="4" t="str">
        <f ca="1">IFERROR(__xludf.DUMMYFUNCTION("""COMPUTED_VALUE"""),"Самостоятельная работа после темы ""Формирование ценностного предложения. Как и зачем проводить CustDev?""")</f>
        <v>Самостоятельная работа после темы "Формирование ценностного предложения. Как и зачем проводить CustDev?"</v>
      </c>
      <c r="D624" s="1" t="str">
        <f ca="1">IFERROR(__xludf.DUMMYFUNCTION("""COMPUTED_VALUE"""),"Домашнее задание:
1.        Заполните в бизнес-плане блок «Описание продукта/услуги»
2.        Проведите CustDev целевой аудитории по предложенной механике")</f>
        <v>Домашнее задание:
1.        Заполните в бизнес-плане блок «Описание продукта/услуги»
2.        Проведите CustDev целевой аудитории по предложенной механике</v>
      </c>
    </row>
    <row r="625" spans="1:4" ht="25.5" x14ac:dyDescent="0.2">
      <c r="A625" s="1"/>
      <c r="B625" s="4"/>
      <c r="C625" s="4" t="str">
        <f ca="1">IFERROR(__xludf.DUMMYFUNCTION("""COMPUTED_VALUE"""),"Самостоятельная работа после трекерской встречи №4")</f>
        <v>Самостоятельная работа после трекерской встречи №4</v>
      </c>
      <c r="D625" s="1" t="str">
        <f ca="1">IFERROR(__xludf.DUMMYFUNCTION("""COMPUTED_VALUE"""),"Домашнее задание: 
1.        Учесть все рекомендации от трекера и при необходимости дополнительно провести CustDev, учитывая обратную связь")</f>
        <v>Домашнее задание: 
1.        Учесть все рекомендации от трекера и при необходимости дополнительно провести CustDev, учитывая обратную связь</v>
      </c>
    </row>
    <row r="626" spans="1:4" ht="51" x14ac:dyDescent="0.2">
      <c r="A626" s="1"/>
      <c r="B626" s="4"/>
      <c r="C626" s="4" t="str">
        <f ca="1">IFERROR(__xludf.DUMMYFUNCTION("""COMPUTED_VALUE"""),"Самостоятельная работа после темы ""Тестирование гипотез и создание маркетинговой стратегии""")</f>
        <v>Самостоятельная работа после темы "Тестирование гипотез и создание маркетинговой стратегии"</v>
      </c>
      <c r="D626" s="1" t="str">
        <f ca="1">IFERROR(__xludf.DUMMYFUNCTION("""COMPUTED_VALUE"""),"Домашнее задание: 
1.        Заполните в бизнес-плане блок «План маркетинга»
2.        «Продай идею своего проекта»")</f>
        <v>Домашнее задание: 
1.        Заполните в бизнес-плане блок «План маркетинга»
2.        «Продай идею своего проекта»</v>
      </c>
    </row>
    <row r="627" spans="1:4" ht="25.5" x14ac:dyDescent="0.2">
      <c r="A627" s="1"/>
      <c r="B627" s="4"/>
      <c r="C627" s="4" t="str">
        <f ca="1">IFERROR(__xludf.DUMMYFUNCTION("""COMPUTED_VALUE"""),"Самостоятельная работа после трекерской встречи №5")</f>
        <v>Самостоятельная работа после трекерской встречи №5</v>
      </c>
      <c r="D627" s="1" t="str">
        <f ca="1">IFERROR(__xludf.DUMMYFUNCTION("""COMPUTED_VALUE"""),"Домашнее задание: 
1.        Учесть все рекомендации от трекера и внести изменения в блок ""План маркетинга"" бизнес-плана")</f>
        <v>Домашнее задание: 
1.        Учесть все рекомендации от трекера и внести изменения в блок "План маркетинга" бизнес-плана</v>
      </c>
    </row>
    <row r="628" spans="1:4" ht="38.25" x14ac:dyDescent="0.2">
      <c r="A628" s="1"/>
      <c r="B628" s="4"/>
      <c r="C628" s="4" t="str">
        <f ca="1">IFERROR(__xludf.DUMMYFUNCTION("""COMPUTED_VALUE"""),"Самостоятельная работа после темы ""Финансовая модель проекта""")</f>
        <v>Самостоятельная работа после темы "Финансовая модель проекта"</v>
      </c>
      <c r="D628" s="1" t="str">
        <f ca="1">IFERROR(__xludf.DUMMYFUNCTION("""COMPUTED_VALUE"""),"Домашнее задание: 
1.        Заполните в бизнес-плане блок «Финансовый план»")</f>
        <v>Домашнее задание: 
1.        Заполните в бизнес-плане блок «Финансовый план»</v>
      </c>
    </row>
    <row r="629" spans="1:4" ht="25.5" x14ac:dyDescent="0.2">
      <c r="A629" s="1"/>
      <c r="B629" s="4"/>
      <c r="C629" s="4" t="str">
        <f ca="1">IFERROR(__xludf.DUMMYFUNCTION("""COMPUTED_VALUE"""),"Самостоятельная работа после трекерской встречи №6")</f>
        <v>Самостоятельная работа после трекерской встречи №6</v>
      </c>
      <c r="D629" s="1" t="str">
        <f ca="1">IFERROR(__xludf.DUMMYFUNCTION("""COMPUTED_VALUE"""),"Домашнее задание: 
1.        Учесть все рекомендации от трекера и внести изменения в блок ""Финансовый план"" бизнес-плана")</f>
        <v>Домашнее задание: 
1.        Учесть все рекомендации от трекера и внести изменения в блок "Финансовый план" бизнес-плана</v>
      </c>
    </row>
    <row r="630" spans="1:4" ht="25.5" x14ac:dyDescent="0.2">
      <c r="A630" s="1"/>
      <c r="B630" s="4"/>
      <c r="C630" s="4" t="str">
        <f ca="1">IFERROR(__xludf.DUMMYFUNCTION("""COMPUTED_VALUE"""),"Самостоятельная работа после трекерской встречи №7")</f>
        <v>Самостоятельная работа после трекерской встречи №7</v>
      </c>
      <c r="D630" s="1" t="str">
        <f ca="1">IFERROR(__xludf.DUMMYFUNCTION("""COMPUTED_VALUE"""),"Домашнее задание: 
1.        Составить пошаговую дорожную карту запуска своего проекта")</f>
        <v>Домашнее задание: 
1.        Составить пошаговую дорожную карту запуска своего проекта</v>
      </c>
    </row>
    <row r="631" spans="1:4" ht="38.25" x14ac:dyDescent="0.2">
      <c r="A631" s="1"/>
      <c r="B631" s="4"/>
      <c r="C631" s="4" t="str">
        <f ca="1">IFERROR(__xludf.DUMMYFUNCTION("""COMPUTED_VALUE"""),"Самостоятельная работа после темы ""Создание презентации для Demo Day""")</f>
        <v>Самостоятельная работа после темы "Создание презентации для Demo Day"</v>
      </c>
      <c r="D631" s="1" t="str">
        <f ca="1">IFERROR(__xludf.DUMMYFUNCTION("""COMPUTED_VALUE"""),"Домашнее задание: 
1.        Создать презентацию для DemoDay по предложенной структуре")</f>
        <v>Домашнее задание: 
1.        Создать презентацию для DemoDay по предложенной структуре</v>
      </c>
    </row>
    <row r="632" spans="1:4" ht="25.5" x14ac:dyDescent="0.2">
      <c r="A632" s="1"/>
      <c r="B632" s="4"/>
      <c r="C632" s="4" t="str">
        <f ca="1">IFERROR(__xludf.DUMMYFUNCTION("""COMPUTED_VALUE"""),"Самостоятельная работа после трекерской встречи №8")</f>
        <v>Самостоятельная работа после трекерской встречи №8</v>
      </c>
      <c r="D632" s="1" t="str">
        <f ca="1">IFERROR(__xludf.DUMMYFUNCTION("""COMPUTED_VALUE"""),"Домашнее задание: 
1.        Учесть все рекомендации от трекера и внести изменения в презентацию для DemoDay")</f>
        <v>Домашнее задание: 
1.        Учесть все рекомендации от трекера и внести изменения в презентацию для DemoDay</v>
      </c>
    </row>
    <row r="633" spans="1:4" ht="25.5" x14ac:dyDescent="0.2">
      <c r="A633" s="1"/>
      <c r="B633" s="4"/>
      <c r="C633" s="4" t="str">
        <f ca="1">IFERROR(__xludf.DUMMYFUNCTION("""COMPUTED_VALUE"""),"Государственные и юридические возможности для самозанятого")</f>
        <v>Государственные и юридические возможности для самозанятого</v>
      </c>
      <c r="D633" s="1" t="str">
        <f ca="1">IFERROR(__xludf.DUMMYFUNCTION("""COMPUTED_VALUE"""),"– Регистрация в качестве самозанятого как способ легально вести бизнес и получать доход от подработок без рисков получения штрафа за незаконную предпринимательскую деятельность 
– Плюсы и минусы быть самозанятым. Господдержка для данной категории 
– Сниже"&amp;"ние налоговой нагрузки на юридических лиц, получающих услуги от самозанятых граждан как выгодный способ сотрудничества с ними 
– Возможность участия в тендерах. Изменения законодательства в пользу самозанятого 
– Совмещение самозанятого с основной работой"&amp;" 
– Статус самозанятого как возможность безопасно работать с банками, не бояться контрольно-надзорных органов. Льготы")</f>
        <v>– Регистрация в качестве самозанятого как способ легально вести бизнес и получать доход от подработок без рисков получения штрафа за незаконную предпринимательскую деятельность 
– Плюсы и минусы быть самозанятым. Господдержка для данной категории 
– Снижение налоговой нагрузки на юридических лиц, получающих услуги от самозанятых граждан как выгодный способ сотрудничества с ними 
– Возможность участия в тендерах. Изменения законодательства в пользу самозанятого 
– Совмещение самозанятого с основной работой 
– Статус самозанятого как возможность безопасно работать с банками, не бояться контрольно-надзорных органов. Льготы</v>
      </c>
    </row>
    <row r="634" spans="1:4" ht="25.5" x14ac:dyDescent="0.2">
      <c r="A634" s="1"/>
      <c r="B634" s="4"/>
      <c r="C634" s="4" t="str">
        <f ca="1">IFERROR(__xludf.DUMMYFUNCTION("""COMPUTED_VALUE"""),"Прибыльный Handmade для самозанятых")</f>
        <v>Прибыльный Handmade для самозанятых</v>
      </c>
      <c r="D634" s="1" t="str">
        <f ca="1">IFERROR(__xludf.DUMMYFUNCTION("""COMPUTED_VALUE"""),"– Понятие handmade. Для кого?
– Тренды handmade на иностранном рынке и российском рынке
– Как стать самозанятым и увеличить продажи
– Etsy.com- особенности главного handmade портала в мире
– Что продаем? физические и цифровые товары
– Кейсы успешных магаз"&amp;"инов из стран СНГ
– Этапы запуска магазина на Etsy
– ТОП-5 ошибок начинающих продавцов
– Регистрация, доставка товара, комиссия платформы
– Как посчитать цену?
– Ярмарка мастеров (Livemaster) - особенности и перспективы площадки
– Регистрация, комиссия пл"&amp;"атформы
– Принципы успешного магазина на Ярмарке Мастеров
– Как масштабировать handmade бизнес?")</f>
        <v>– Понятие handmade. Для кого?
– Тренды handmade на иностранном рынке и российском рынке
– Как стать самозанятым и увеличить продажи
– Etsy.com- особенности главного handmade портала в мире
– Что продаем? физические и цифровые товары
– Кейсы успешных магазинов из стран СНГ
– Этапы запуска магазина на Etsy
– ТОП-5 ошибок начинающих продавцов
– Регистрация, доставка товара, комиссия платформы
– Как посчитать цену?
– Ярмарка мастеров (Livemaster) - особенности и перспективы площадки
– Регистрация, комиссия платформы
– Принципы успешного магазина на Ярмарке Мастеров
– Как масштабировать handmade бизнес?</v>
      </c>
    </row>
    <row r="635" spans="1:4" ht="12.75" x14ac:dyDescent="0.2">
      <c r="A635" s="1"/>
      <c r="B635" s="4"/>
      <c r="C635" s="4" t="str">
        <f ca="1">IFERROR(__xludf.DUMMYFUNCTION("""COMPUTED_VALUE"""),"Личный бренд самозанятого")</f>
        <v>Личный бренд самозанятого</v>
      </c>
      <c r="D635" s="1" t="str">
        <f ca="1">IFERROR(__xludf.DUMMYFUNCTION("""COMPUTED_VALUE"""),"– Что такое личный бренд? 3 типа людей, которые его строят
– Концепция «Путь» или как с нуля построить личный бренд? 
– 3 шага активации личного бренда. Практическое упражнение здесь и сейчас 
– Путь героя или как психофизиология тела определяет стратегию"&amp;" построения личного бренда 
– 7 типов вовлекающих сториз от которых невозможно оторваться или почему будут покупать именно у вас")</f>
        <v>– Что такое личный бренд? 3 типа людей, которые его строят
– Концепция «Путь» или как с нуля построить личный бренд? 
– 3 шага активации личного бренда. Практическое упражнение здесь и сейчас 
– Путь героя или как психофизиология тела определяет стратегию построения личного бренда 
– 7 типов вовлекающих сториз от которых невозможно оторваться или почему будут покупать именно у вас</v>
      </c>
    </row>
    <row r="636" spans="1:4" ht="51" x14ac:dyDescent="0.2">
      <c r="A636" s="1"/>
      <c r="B636" s="4"/>
      <c r="C636" s="4" t="str">
        <f ca="1">IFERROR(__xludf.DUMMYFUNCTION("""COMPUTED_VALUE"""),"50 инструментов, которые гарантированно дадут новых подписчиков и повысят продажи в Instagram")</f>
        <v>50 инструментов, которые гарантированно дадут новых подписчиков и повысят продажи в Instagram</v>
      </c>
      <c r="D636" s="1" t="str">
        <f ca="1">IFERROR(__xludf.DUMMYFUNCTION("""COMPUTED_VALUE"""),"– Как работают алгоритмы Instagram
– Анализ конкурентов - ТОП-5 сервисов для быстрой работы 
– Анализ целевой аудитории
– Как оформить свой аккаунт и перейти на бизнес-профиль
– Безопасность и защита аккаунта
– Контент-план: виды контента, форматы
– TOV и"&amp;" работа с комментариями
– Рубрикатор, тексты, графика и фото
– Обзор актуальных способов продвижения в Instagram
– Геймификация
– Инфраструктура вокруг соц-сетей: лендинги, сайты, квиз-тесты, карты, репутация
– Критические ошибки, которые убьют ваш Инстаг"&amp;"рам
– ТОП-30 приложений, которые используют самые известные блогеры в Instagram каждый день")</f>
        <v>– Как работают алгоритмы Instagram
– Анализ конкурентов - ТОП-5 сервисов для быстрой работы 
– Анализ целевой аудитории
– Как оформить свой аккаунт и перейти на бизнес-профиль
– Безопасность и защита аккаунта
– Контент-план: виды контента, форматы
– TOV и работа с комментариями
– Рубрикатор, тексты, графика и фото
– Обзор актуальных способов продвижения в Instagram
– Геймификация
– Инфраструктура вокруг соц-сетей: лендинги, сайты, квиз-тесты, карты, репутация
– Критические ошибки, которые убьют ваш Инстаграм
– ТОП-30 приложений, которые используют самые известные блогеры в Instagram каждый день</v>
      </c>
    </row>
    <row r="637" spans="1:4" ht="25.5" x14ac:dyDescent="0.2">
      <c r="A637" s="1"/>
      <c r="B637" s="4"/>
      <c r="C637" s="4" t="str">
        <f ca="1">IFERROR(__xludf.DUMMYFUNCTION("""COMPUTED_VALUE"""),"Как фрилансеру стать самозанятым")</f>
        <v>Как фрилансеру стать самозанятым</v>
      </c>
      <c r="D637" s="1" t="str">
        <f ca="1">IFERROR(__xludf.DUMMYFUNCTION("""COMPUTED_VALUE"""),"– С чего начинается бизнес
– Как протестировать без финансовых потерь (гипотезы и декомпозиции)
– Как построить бизнес процесс
– Преимущества и недостатки режима самозанятости")</f>
        <v>– С чего начинается бизнес
– Как протестировать без финансовых потерь (гипотезы и декомпозиции)
– Как построить бизнес процесс
– Преимущества и недостатки режима самозанятости</v>
      </c>
    </row>
    <row r="638" spans="1:4" ht="25.5" x14ac:dyDescent="0.2">
      <c r="A638" s="1"/>
      <c r="B638" s="4"/>
      <c r="C638" s="4" t="str">
        <f ca="1">IFERROR(__xludf.DUMMYFUNCTION("""COMPUTED_VALUE"""),"УТП: Авторская технология ""Азбука продаж""")</f>
        <v>УТП: Авторская технология "Азбука продаж"</v>
      </c>
      <c r="D638" s="1" t="str">
        <f ca="1">IFERROR(__xludf.DUMMYFUNCTION("""COMPUTED_VALUE"""),"- Игра «Генерация идей»: как придумать УТП
- Техника «Чемодан на колёсиках»
- 16 мотиваторов покупок
- Кейсы великих брендов
- Пошаговая инструкция для создания УТП
- Как клиент подскажет вам вашу уникальность")</f>
        <v>- Игра «Генерация идей»: как придумать УТП
- Техника «Чемодан на колёсиках»
- 16 мотиваторов покупок
- Кейсы великих брендов
- Пошаговая инструкция для создания УТП
- Как клиент подскажет вам вашу уникальность</v>
      </c>
    </row>
    <row r="639" spans="1:4" ht="38.25" x14ac:dyDescent="0.2">
      <c r="A639" s="1"/>
      <c r="B639" s="4"/>
      <c r="C639" s="4" t="str">
        <f ca="1">IFERROR(__xludf.DUMMYFUNCTION("""COMPUTED_VALUE"""),"Самостоятельная работа №1. Социальное предпринимательство Биробиджан")</f>
        <v>Самостоятельная работа №1. Социальное предпринимательство Биробиджан</v>
      </c>
      <c r="D639" s="1" t="str">
        <f ca="1">IFERROR(__xludf.DUMMYFUNCTION("""COMPUTED_VALUE"""),"- Опишите свой проект по предложенному шаблону бизнес-плана: https://docs.google.com/document/d/1Bhr6yQF1ZKNJUcqG693RnUJKNZhtFLw5/edit?usp=sharing&amp;ouid=102575089520534873834&amp;rtpof=true&amp;sd=true
Заполните блоки бизнес-плана, которые вы изучили на предыдущих"&amp;" занятиях:
№1. Резюме
№2. Описание предприятия
№3 Описание продукта и услуги
№6. Организационный план
№7. Финансовый план
Для того, чтобы описать оставшиеся блоки, в этой самостоятельной работе изучите дополнительные материалы с платформы Деловой среды:
"&amp;"1. Анализ рынка https://dasreda.ru/learn/blog/article/1096#3
2. План маркетинга https://dasreda.ru/learn/video/120?utm_medium=platform&amp;utm_source=from_article_to_article")</f>
        <v>- Опишите свой проект по предложенному шаблону бизнес-плана: https://docs.google.com/document/d/1Bhr6yQF1ZKNJUcqG693RnUJKNZhtFLw5/edit?usp=sharing&amp;ouid=102575089520534873834&amp;rtpof=true&amp;sd=true
Заполните блоки бизнес-плана, которые вы изучили на предыдущих занятиях:
№1. Резюме
№2. Описание предприятия
№3 Описание продукта и услуги
№6. Организационный план
№7. Финансовый план
Для того, чтобы описать оставшиеся блоки, в этой самостоятельной работе изучите дополнительные материалы с платформы Деловой среды:
1. Анализ рынка https://dasreda.ru/learn/blog/article/1096#3
2. План маркетинга https://dasreda.ru/learn/video/120?utm_medium=platform&amp;utm_source=from_article_to_article</v>
      </c>
    </row>
    <row r="640" spans="1:4" ht="38.25" x14ac:dyDescent="0.2">
      <c r="A640" s="1"/>
      <c r="B640" s="4"/>
      <c r="C640" s="4" t="str">
        <f ca="1">IFERROR(__xludf.DUMMYFUNCTION("""COMPUTED_VALUE"""),"Самостоятельная работа №2. Социальное предпринимательство Биробиджан")</f>
        <v>Самостоятельная работа №2. Социальное предпринимательство Биробиджан</v>
      </c>
      <c r="D640" s="5" t="str">
        <f ca="1">IFERROR(__xludf.DUMMYFUNCTION("""COMPUTED_VALUE"""),"- По изученным материалам с первой самостоятельной работы, опишите оставшиеся блоки бизнес-плана:
№4. Анализ рынка и конкурентов
№5. План маркетинга
№8. Планирование рисков
- Сделайте презентацию для своего проекта. Обратите внимание на критерии оцениван"&amp;"ия проекта, указанные в Приложении 2 Бизнес-плана
Изучите полезную статью о том, как представить свой проект: https://dasreda.ru/learn/blog/article/195")</f>
        <v>- По изученным материалам с первой самостоятельной работы, опишите оставшиеся блоки бизнес-плана:
№4. Анализ рынка и конкурентов
№5. План маркетинга
№8. Планирование рисков
- Сделайте презентацию для своего проекта. Обратите внимание на критерии оценивания проекта, указанные в Приложении 2 Бизнес-плана
Изучите полезную статью о том, как представить свой проект: https://dasreda.ru/learn/blog/article/195</v>
      </c>
    </row>
    <row r="641" spans="1:4" ht="12.75" x14ac:dyDescent="0.2">
      <c r="A641" s="1"/>
      <c r="B641" s="4"/>
      <c r="C641" s="4" t="str">
        <f ca="1">IFERROR(__xludf.DUMMYFUNCTION("""COMPUTED_VALUE"""),"Домашнее задание №2 ЕАО")</f>
        <v>Домашнее задание №2 ЕАО</v>
      </c>
      <c r="D641" s="5" t="str">
        <f ca="1">IFERROR(__xludf.DUMMYFUNCTION("""COMPUTED_VALUE"""),"- Составьте Аватар клиента по шаблону: https://docs.google.com/document/d/1fDgtlwOrSGE8nwT7AEBdlqNlQagCqItt/edit?usp=sharing&amp;ouid=102575089520534873834&amp;rtpof=true&amp;sd=true
- Пример выполненного Аватара клиента: https://drive.google.com/file/d/1pTbW0bIvWDvX"&amp;"7mJ4sX1OhmzZzSFVzjI9/view?usp=sharing
- Составьте пресс-релиз по шаблону: https://drive.google.com/file/d/10mnww4HehA2tLvgeR1TKcIIni6jN1d6H/view?usp=sharing")</f>
        <v>- Составьте Аватар клиента по шаблону: https://docs.google.com/document/d/1fDgtlwOrSGE8nwT7AEBdlqNlQagCqItt/edit?usp=sharing&amp;ouid=102575089520534873834&amp;rtpof=true&amp;sd=true
- Пример выполненного Аватара клиента: https://drive.google.com/file/d/1pTbW0bIvWDvX7mJ4sX1OhmzZzSFVzjI9/view?usp=sharing
- Составьте пресс-релиз по шаблону: https://drive.google.com/file/d/10mnww4HehA2tLvgeR1TKcIIni6jN1d6H/view?usp=sharing</v>
      </c>
    </row>
    <row r="642" spans="1:4" ht="12.75" x14ac:dyDescent="0.2">
      <c r="A642" s="1"/>
      <c r="B642" s="4"/>
      <c r="C642" s="4" t="str">
        <f ca="1">IFERROR(__xludf.DUMMYFUNCTION("""COMPUTED_VALUE"""),"Домашнее задание №1 ЕАО")</f>
        <v>Домашнее задание №1 ЕАО</v>
      </c>
      <c r="D642" s="1" t="str">
        <f ca="1">IFERROR(__xludf.DUMMYFUNCTION("""COMPUTED_VALUE"""),"- Составьте финансовый план проекта по шаблону в бизнес-плане")</f>
        <v>- Составьте финансовый план проекта по шаблону в бизнес-плане</v>
      </c>
    </row>
    <row r="643" spans="1:4" ht="25.5" x14ac:dyDescent="0.2">
      <c r="A643" s="1"/>
      <c r="B643" s="4"/>
      <c r="C643" s="4" t="str">
        <f ca="1">IFERROR(__xludf.DUMMYFUNCTION("""COMPUTED_VALUE"""),"Разбор домашнего задания в zoom №2 ЕАО")</f>
        <v>Разбор домашнего задания в zoom №2 ЕАО</v>
      </c>
      <c r="D643" s="1" t="str">
        <f ca="1">IFERROR(__xludf.DUMMYFUNCTION("""COMPUTED_VALUE"""),"- Спикер дает общую развивающую обратную связь по проверенному домашнему заданию
- Обсуждаем все вопросы и сложности при подготовке маркетингового плана")</f>
        <v>- Спикер дает общую развивающую обратную связь по проверенному домашнему заданию
- Обсуждаем все вопросы и сложности при подготовке маркетингового плана</v>
      </c>
    </row>
    <row r="644" spans="1:4" ht="25.5" x14ac:dyDescent="0.2">
      <c r="A644" s="1"/>
      <c r="B644" s="4"/>
      <c r="C644" s="4" t="str">
        <f ca="1">IFERROR(__xludf.DUMMYFUNCTION("""COMPUTED_VALUE"""),"Разбор домашнего задания в zoom №1 ЕАО")</f>
        <v>Разбор домашнего задания в zoom №1 ЕАО</v>
      </c>
      <c r="D644" s="1" t="str">
        <f ca="1">IFERROR(__xludf.DUMMYFUNCTION("""COMPUTED_VALUE"""),"- Спикер дает общую развивающую обратную связь по проверенному домашнему заданию
- Обсуждаем все вопросы и сложности при составлении финансового плана")</f>
        <v>- Спикер дает общую развивающую обратную связь по проверенному домашнему заданию
- Обсуждаем все вопросы и сложности при составлении финансового плана</v>
      </c>
    </row>
    <row r="645" spans="1:4" ht="25.5" x14ac:dyDescent="0.2">
      <c r="A645" s="1"/>
      <c r="B645" s="4"/>
      <c r="C645" s="4" t="str">
        <f ca="1">IFERROR(__xludf.DUMMYFUNCTION("""COMPUTED_VALUE"""),"Управленческие навыки руководителя")</f>
        <v>Управленческие навыки руководителя</v>
      </c>
      <c r="D645" s="1" t="str">
        <f ca="1">IFERROR(__xludf.DUMMYFUNCTION("""COMPUTED_VALUE"""),"- Какие функции должен делать руководитель? Анализ собственного потенциала
- Как ставить цели и планы? Все о целеполагании руководителя
- Все делать самому или делегировать? Принципы делегирования и контроля в управлении 
- Как быстро принимать управле"&amp;"нческие решения? Способы принятия решений 
- Насколько вы сейчас владеете управленческими навыками? И какие они бывают?
- Как и зачем анализировать свои сильные и слабые стороны?")</f>
        <v>- Какие функции должен делать руководитель? Анализ собственного потенциала
- Как ставить цели и планы? Все о целеполагании руководителя
- Все делать самому или делегировать? Принципы делегирования и контроля в управлении 
- Как быстро принимать управленческие решения? Способы принятия решений 
- Насколько вы сейчас владеете управленческими навыками? И какие они бывают?
- Как и зачем анализировать свои сильные и слабые стороны?</v>
      </c>
    </row>
    <row r="646" spans="1:4" ht="38.25" x14ac:dyDescent="0.2">
      <c r="A646" s="1"/>
      <c r="B646" s="4"/>
      <c r="C646" s="4" t="str">
        <f ca="1">IFERROR(__xludf.DUMMYFUNCTION("""COMPUTED_VALUE"""),"Юридические аспекты социального бизнеса для безопасной работы")</f>
        <v>Юридические аспекты социального бизнеса для безопасной работы</v>
      </c>
      <c r="D646" s="1" t="str">
        <f ca="1">IFERROR(__xludf.DUMMYFUNCTION("""COMPUTED_VALUE"""),"- Какие юридические ошибки могут ожидать социальный бизнес, меры профилактики, решения
- Контольно-надзорные органы: кто может проверять социальный бизнес?
- Что делать, если пришла проверка и как обжаловать действия контрольно-надзорных органов?
- Юридич"&amp;"еская грамотность при оформлении трудовых отношений с работниками 
- Безопасная работа с подрядчиками на гражданско-правовых договорах")</f>
        <v>- Какие юридические ошибки могут ожидать социальный бизнес, меры профилактики, решения
- Контольно-надзорные органы: кто может проверять социальный бизнес?
- Что делать, если пришла проверка и как обжаловать действия контрольно-надзорных органов?
- Юридическая грамотность при оформлении трудовых отношений с работниками 
- Безопасная работа с подрядчиками на гражданско-правовых договорах</v>
      </c>
    </row>
    <row r="647" spans="1:4" ht="38.25" x14ac:dyDescent="0.2">
      <c r="A647" s="1"/>
      <c r="B647" s="4"/>
      <c r="C647" s="4" t="str">
        <f ca="1">IFERROR(__xludf.DUMMYFUNCTION("""COMPUTED_VALUE"""),"Точки роста для бизнеса. Как расти, формировать правильные убеждения и сильное окружение   ")</f>
        <v xml:space="preserve">Точки роста для бизнеса. Как расти, формировать правильные убеждения и сильное окружение   </v>
      </c>
      <c r="D647" s="1" t="str">
        <f ca="1">IFERROR(__xludf.DUMMYFUNCTION("""COMPUTED_VALUE"""),"- Как позиционировать себя на рынке
- Как составить детальный портрет вашей ЦА
- Как научиться самостоятельно анализировать бизнес-процессы
-  Как и зачем нужно прописывать УТП 
- Особенности предпринимательства по-женски
- Нетворкинг, как инструмент для "&amp;"развития внутри сообщества ")</f>
        <v xml:space="preserve">- Как позиционировать себя на рынке
- Как составить детальный портрет вашей ЦА
- Как научиться самостоятельно анализировать бизнес-процессы
-  Как и зачем нужно прописывать УТП 
- Особенности предпринимательства по-женски
- Нетворкинг, как инструмент для развития внутри сообщества </v>
      </c>
    </row>
    <row r="648" spans="1:4" ht="51" x14ac:dyDescent="0.2">
      <c r="A648" s="1"/>
      <c r="B648" s="4"/>
      <c r="C648" s="4" t="str">
        <f ca="1">IFERROR(__xludf.DUMMYFUNCTION("""COMPUTED_VALUE"""),"Как стать лидером рынка через построение сильной команды и создание правильных отношений в коллективе   ")</f>
        <v xml:space="preserve">Как стать лидером рынка через построение сильной команды и создание правильных отношений в коллективе   </v>
      </c>
      <c r="D648" s="1" t="str">
        <f ca="1">IFERROR(__xludf.DUMMYFUNCTION("""COMPUTED_VALUE"""),"- Сотрудничество: как правильно делегировать задачи
- Сотрудничество: как поставить задачи, чтобы подрядчики их выполняли
- Сотрудничество: как искать подрядчиков и создавать с ними правильные отношения
- Управление собой как руководителем бизнеса")</f>
        <v>- Сотрудничество: как правильно делегировать задачи
- Сотрудничество: как поставить задачи, чтобы подрядчики их выполняли
- Сотрудничество: как искать подрядчиков и создавать с ними правильные отношения
- Управление собой как руководителем бизнеса</v>
      </c>
    </row>
    <row r="649" spans="1:4" ht="38.25" x14ac:dyDescent="0.2">
      <c r="A649" s="1"/>
      <c r="B649" s="4"/>
      <c r="C649" s="4" t="str">
        <f ca="1">IFERROR(__xludf.DUMMYFUNCTION("""COMPUTED_VALUE"""),"Продажи по ЛЮБВИ: Эффективная система для роста бизнеса   ")</f>
        <v xml:space="preserve">Продажи по ЛЮБВИ: Эффективная система для роста бизнеса   </v>
      </c>
      <c r="D649" s="1" t="str">
        <f ca="1">IFERROR(__xludf.DUMMYFUNCTION("""COMPUTED_VALUE"""),"- Отдел продаж из чего состоит 
- Воронка продаж и расчет декомпозиции 
- Скрипт продаж
- Работа с командой, мотивация 
- Увеличение прибыли, как влиять ")</f>
        <v xml:space="preserve">- Отдел продаж из чего состоит 
- Воронка продаж и расчет декомпозиции 
- Скрипт продаж
- Работа с командой, мотивация 
- Увеличение прибыли, как влиять </v>
      </c>
    </row>
    <row r="650" spans="1:4" ht="25.5" x14ac:dyDescent="0.2">
      <c r="A650" s="1"/>
      <c r="B650" s="4"/>
      <c r="C650" s="4" t="str">
        <f ca="1">IFERROR(__xludf.DUMMYFUNCTION("""COMPUTED_VALUE"""),"Личный бренд, как выделить себя среди конкурентов   ")</f>
        <v xml:space="preserve">Личный бренд, как выделить себя среди конкурентов   </v>
      </c>
      <c r="D650" s="1" t="str">
        <f ca="1">IFERROR(__xludf.DUMMYFUNCTION("""COMPUTED_VALUE"""),"- Личный бренд — понятия и почему эта тема так востребована 
- Как сформировать своё уникальное личное предложение 
- Как выделить себя среди конкурентов 
- Как продвигать себя через СМИ
- Как правильно оформлять соц.сети 
- Как монетизировать свой личный"&amp;" бренд  ")</f>
        <v xml:space="preserve">- Личный бренд — понятия и почему эта тема так востребована 
- Как сформировать своё уникальное личное предложение 
- Как выделить себя среди конкурентов 
- Как продвигать себя через СМИ
- Как правильно оформлять соц.сети 
- Как монетизировать свой личный бренд  </v>
      </c>
    </row>
    <row r="651" spans="1:4" ht="38.25" x14ac:dyDescent="0.2">
      <c r="A651" s="1"/>
      <c r="B651" s="4"/>
      <c r="C651" s="4" t="str">
        <f ca="1">IFERROR(__xludf.DUMMYFUNCTION("""COMPUTED_VALUE"""),"Создай лучшую версию своего бизнеса и получи конкретный план реализации   ")</f>
        <v xml:space="preserve">Создай лучшую версию своего бизнеса и получи конкретный план реализации   </v>
      </c>
      <c r="D651" s="1" t="str">
        <f ca="1">IFERROR(__xludf.DUMMYFUNCTION("""COMPUTED_VALUE"""),"-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бизне"&amp;"са на 10 лет вперед")</f>
        <v>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бизнеса на 10 лет вперед</v>
      </c>
    </row>
    <row r="652" spans="1:4" ht="25.5" x14ac:dyDescent="0.2">
      <c r="A652" s="1"/>
      <c r="B652" s="4"/>
      <c r="C652" s="4" t="str">
        <f ca="1">IFERROR(__xludf.DUMMYFUNCTION("""COMPUTED_VALUE"""),"Тренды 2021. Как получать заявки и продажи через инстаграм?   ")</f>
        <v xml:space="preserve">Тренды 2021. Как получать заявки и продажи через инстаграм?   </v>
      </c>
      <c r="D652" s="1" t="str">
        <f ca="1">IFERROR(__xludf.DUMMYFUNCTION("""COMPUTED_VALUE"""),"- Instagram: точка выхода и роста для любого бизнеса
- Тренды 2021. Что поменялось за последний год
- Как привлечь клиентов: объединяем людей, сайт и инстаграм
- Настройка рекламы в социальных сетях: как потратить только 20% времени, а добиться 80% резуль"&amp;"тата
- Зачем считать показатели, если продвигаешь бизнес
- Стратегия продвижения бизнеса за 30 минут: основные каналы маркетинга")</f>
        <v>- Instagram: точка выхода и роста для любого бизнеса
- Тренды 2021. Что поменялось за последний год
- Как привлечь клиентов: объединяем людей, сайт и инстаграм
- Настройка рекламы в социальных сетях: как потратить только 20% времени, а добиться 80% результата
- Зачем считать показатели, если продвигаешь бизнес
- Стратегия продвижения бизнеса за 30 минут: основные каналы маркетинга</v>
      </c>
    </row>
    <row r="653" spans="1:4" ht="25.5" x14ac:dyDescent="0.2">
      <c r="A653" s="1"/>
      <c r="B653" s="4"/>
      <c r="C653" s="4" t="str">
        <f ca="1">IFERROR(__xludf.DUMMYFUNCTION("""COMPUTED_VALUE"""),"Как все успевать и оставаться в гармонии с собой   ")</f>
        <v xml:space="preserve">Как все успевать и оставаться в гармонии с собой   </v>
      </c>
      <c r="D653" s="1" t="str">
        <f ca="1">IFERROR(__xludf.DUMMYFUNCTION("""COMPUTED_VALUE"""),"- Как самоорганизовать себя, если ты - самозанятый?
- Управление временем — зачем это нужно и что дает? 
- Как рассчитать силы, время и возможности? 
- Как определить баланс времени и удовольствия? 
- Зачем формировать привычки, освобождающие время на себ"&amp;"я? 
- Планирование графика без стресса 
- Лишнее отдавай: как правильно делегировать")</f>
        <v>- Как самоорганизовать себя, если ты - самозанятый?
- Управление временем — зачем это нужно и что дает? 
- Как рассчитать силы, время и возможности? 
- Как определить баланс времени и удовольствия? 
- Зачем формировать привычки, освобождающие время на себя? 
- Планирование графика без стресса 
- Лишнее отдавай: как правильно делегировать</v>
      </c>
    </row>
    <row r="654" spans="1:4" ht="38.25" x14ac:dyDescent="0.2">
      <c r="A654" s="1"/>
      <c r="B654" s="4"/>
      <c r="C654" s="4" t="str">
        <f ca="1">IFERROR(__xludf.DUMMYFUNCTION("""COMPUTED_VALUE"""),"Рецепт сбалансированных финансов: от семейного бюджета до корпоративного баланса   ")</f>
        <v xml:space="preserve">Рецепт сбалансированных финансов: от семейного бюджета до корпоративного баланса   </v>
      </c>
      <c r="D654" s="1" t="str">
        <f ca="1">IFERROR(__xludf.DUMMYFUNCTION("""COMPUTED_VALUE"""),"- Виды финансовых рисков: контроль и управление
- 12 критериев налоговой проверки
- 11 критических ошибок в бухгалтерии
- Кассовые разрывы: причины и выход
- Как повысить финансовую устойчивость
- Семейный бюджет. 10 лайфхаков, как все успевать")</f>
        <v>- Виды финансовых рисков: контроль и управление
- 12 критериев налоговой проверки
- 11 критических ошибок в бухгалтерии
- Кассовые разрывы: причины и выход
- Как повысить финансовую устойчивость
- Семейный бюджет. 10 лайфхаков, как все успевать</v>
      </c>
    </row>
    <row r="655" spans="1:4" ht="63.75" x14ac:dyDescent="0.2">
      <c r="A655" s="1"/>
      <c r="B655" s="4"/>
      <c r="C655" s="4" t="str">
        <f ca="1">IFERROR(__xludf.DUMMYFUNCTION("""COMPUTED_VALUE"""),"Переговоры по-женски. Как выстраивать беседу, разрешать конфликты и управлять отношениями, чтобы прийти к желаемому результату   ")</f>
        <v xml:space="preserve">Переговоры по-женски. Как выстраивать беседу, разрешать конфликты и управлять отношениями, чтобы прийти к желаемому результату   </v>
      </c>
      <c r="D655" s="1" t="str">
        <f ca="1">IFERROR(__xludf.DUMMYFUNCTION("""COMPUTED_VALUE"""),"- Подготовка к переговорам: что нужно предпринять, прежде чем начать переговоры
- Как правильно фиксировать итоги переговоров, чтобы договоренности соблюдались
- Как понять, чего на самом деле хочет собеседник: его цели и мотивы
- Как договориться с любым"&amp;" человеком: инструменты влияния через понимание психотипа собеседника
- Как эффективно решать острые конфликты с гневными клиентами 
- Как научиться контролировать свои эмоции и управлять эмоциями других людей")</f>
        <v>- Подготовка к переговорам: что нужно предпринять, прежде чем начать переговоры
- Как правильно фиксировать итоги переговоров, чтобы договоренности соблюдались
- Как понять, чего на самом деле хочет собеседник: его цели и мотивы
- Как договориться с любым человеком: инструменты влияния через понимание психотипа собеседника
- Как эффективно решать острые конфликты с гневными клиентами 
- Как научиться контролировать свои эмоции и управлять эмоциями других людей</v>
      </c>
    </row>
    <row r="656" spans="1:4" ht="25.5" x14ac:dyDescent="0.2">
      <c r="A656" s="1"/>
      <c r="B656" s="4"/>
      <c r="C656" s="4" t="str">
        <f ca="1">IFERROR(__xludf.DUMMYFUNCTION("""COMPUTED_VALUE"""),"Социальные сети: оформление и ведение")</f>
        <v>Социальные сети: оформление и ведение</v>
      </c>
      <c r="D656" s="1" t="str">
        <f ca="1">IFERROR(__xludf.DUMMYFUNCTION("""COMPUTED_VALUE"""),"- Зачем вести соцсети
- Правила оформления акккаунта в Instagram
- Правила оформления группы VK
- Правила оформления страницы на Facebook
- Что такое контент-план
- Структура контент-плана
- Как правильно использовать хэштеги
- Инструменты развития"&amp;" и продвижения в соц.сетях")</f>
        <v>- Зачем вести соцсети
- Правила оформления акккаунта в Instagram
- Правила оформления группы VK
- Правила оформления страницы на Facebook
- Что такое контент-план
- Структура контент-плана
- Как правильно использовать хэштеги
- Инструменты развития и продвижения в соц.сетях</v>
      </c>
    </row>
    <row r="657" spans="1:4" ht="25.5" x14ac:dyDescent="0.2">
      <c r="A657" s="1"/>
      <c r="B657" s="4"/>
      <c r="C657" s="4" t="str">
        <f ca="1">IFERROR(__xludf.DUMMYFUNCTION("""COMPUTED_VALUE"""),"Формирование эффективной команды")</f>
        <v>Формирование эффективной команды</v>
      </c>
      <c r="D657" s="1" t="str">
        <f ca="1">IFERROR(__xludf.DUMMYFUNCTION("""COMPUTED_VALUE"""),"- Уточнение понятий команда, группа, цикл жизни команды, цели и ценности команды и др. Различия между командой и группой
- Стадии жизни команды: формирование, адаптация и конфликты, нормирование, эффективная работа, роспуск команды
- Определение структу"&amp;"ры работ и структуры команды. - Эффективная структура и роли в команде
- Формулирование ценностей и норм команды. Постановка целей команде
- Формулирование требований к будущим членам команды
- Набор и отбор членов команды
- Преодоление стартовых конф"&amp;"ликтов
- Определение и уточнение командных норм
- Управление эффективностью команды
- Действия при реструктуризации или роспуске команды
- Роли в команде, ориентированные на цели, взаимоотношения, себя. Почему люди подчиняются
- Составление подробног"&amp;"о плана работы со своей бизнес-командой")</f>
        <v>- Уточнение понятий команда, группа, цикл жизни команды, цели и ценности команды и др. Различия между командой и группой
- Стадии жизни команды: формирование, адаптация и конфликты, нормирование, эффективная работа, роспуск команды
- Определение структуры работ и структуры команды. - Эффективная структура и роли в команде
- Формулирование ценностей и норм команды. Постановка целей команде
- Формулирование требований к будущим членам команды
- Набор и отбор членов команды
- Преодоление стартовых конфликтов
- Определение и уточнение командных норм
- Управление эффективностью команды
- Действия при реструктуризации или роспуске команды
- Роли в команде, ориентированные на цели, взаимоотношения, себя. Почему люди подчиняются
- Составление подробного плана работы со своей бизнес-командой</v>
      </c>
    </row>
    <row r="658" spans="1:4" ht="38.25" x14ac:dyDescent="0.2">
      <c r="A658" s="1"/>
      <c r="B658" s="4"/>
      <c r="C658" s="4" t="str">
        <f ca="1">IFERROR(__xludf.DUMMYFUNCTION("""COMPUTED_VALUE"""),"Консультация 1. Разбор домашнего задания по теме построения эффективной команды")</f>
        <v>Консультация 1. Разбор домашнего задания по теме построения эффективной команды</v>
      </c>
      <c r="D658" s="1" t="str">
        <f ca="1">IFERROR(__xludf.DUMMYFUNCTION("""COMPUTED_VALUE"""),"- Разбор домашнего задания
- Ответы на вопросы участников
- Индивидуальные рекомендации каждому участнику от спикера")</f>
        <v>- Разбор домашнего задания
- Ответы на вопросы участников
- Индивидуальные рекомендации каждому участнику от спикера</v>
      </c>
    </row>
    <row r="659" spans="1:4" ht="25.5" x14ac:dyDescent="0.2">
      <c r="A659" s="1"/>
      <c r="B659" s="4"/>
      <c r="C659" s="4" t="str">
        <f ca="1">IFERROR(__xludf.DUMMYFUNCTION("""COMPUTED_VALUE"""),"Разработка стратегии развития бизнеса")</f>
        <v>Разработка стратегии развития бизнеса</v>
      </c>
      <c r="D659" s="1" t="str">
        <f ca="1">IFERROR(__xludf.DUMMYFUNCTION("""COMPUTED_VALUE"""),"- Ключевые принципы стратегического управления
- Определение приоритетных рынков и клиентов на ближайшую перспективу
- Актуализация стратегических целей в четырех перспективах (финансы, клиенты, внутренние процессы, персонал/инфраструктура)
- Определение "&amp;"показателей, раскрывающих стратегические цели, разработка формул их расчета и периода мониторинга
- Выстраивание вертикальных и горизонтальных причинно–следственных связей между целями и показателями – сбалансированная ССП, как система измерений
- Разрабо"&amp;"тка плана стратегических мероприятий по достижению поставленных целей на основе предложенных показателей
- Закрепление ответственности за конкретной структурной единицей (подразделение, сотрудник)
- Взаимосвязь стратегического и оперативного контуров упра"&amp;"вления")</f>
        <v>- Ключевые принципы стратегического управления
- Определение приоритетных рынков и клиентов на ближайшую перспективу
- Актуализация стратегических целей в четырех перспективах (финансы, клиенты, внутренние процессы, персонал/инфраструктура)
- Определение показателей, раскрывающих стратегические цели, разработка формул их расчета и периода мониторинга
- Выстраивание вертикальных и горизонтальных причинно–следственных связей между целями и показателями – сбалансированная ССП, как система измерений
- Разработка плана стратегических мероприятий по достижению поставленных целей на основе предложенных показателей
- Закрепление ответственности за конкретной структурной единицей (подразделение, сотрудник)
- Взаимосвязь стратегического и оперативного контуров управления</v>
      </c>
    </row>
    <row r="660" spans="1:4" ht="51" x14ac:dyDescent="0.2">
      <c r="A660" s="1"/>
      <c r="B660" s="4"/>
      <c r="C660" s="4" t="str">
        <f ca="1">IFERROR(__xludf.DUMMYFUNCTION("""COMPUTED_VALUE"""),"Управление финансовыми потоками для руководителя. Как управлять бизнесом на основе цифр")</f>
        <v>Управление финансовыми потоками для руководителя. Как управлять бизнесом на основе цифр</v>
      </c>
      <c r="D660" s="1" t="str">
        <f ca="1">IFERROR(__xludf.DUMMYFUNCTION("""COMPUTED_VALUE"""),"- 5 типовых ошибок предпринимателей в финансах бизнеса
- 3 главных отчета предпринимателя, на основании которых необходимо управлять компанией
- Сколько можно брать из бизнеса без ущерба для компании")</f>
        <v>- 5 типовых ошибок предпринимателей в финансах бизнеса
- 3 главных отчета предпринимателя, на основании которых необходимо управлять компанией
- Сколько можно брать из бизнеса без ущерба для компании</v>
      </c>
    </row>
    <row r="661" spans="1:4" ht="51" x14ac:dyDescent="0.2">
      <c r="A661" s="1"/>
      <c r="B661" s="4"/>
      <c r="C661" s="4" t="str">
        <f ca="1">IFERROR(__xludf.DUMMYFUNCTION("""COMPUTED_VALUE"""),"Консультация 2. Разбор домашнего задания по теме управления финансовыми потоками")</f>
        <v>Консультация 2. Разбор домашнего задания по теме управления финансовыми потоками</v>
      </c>
      <c r="D661" s="1" t="str">
        <f ca="1">IFERROR(__xludf.DUMMYFUNCTION("""COMPUTED_VALUE"""),"- Разбор домашнего задания
- Ответы на вопросы участников
- Индивидуальные рекомендации каждому участнику от спикера")</f>
        <v>- Разбор домашнего задания
- Ответы на вопросы участников
- Индивидуальные рекомендации каждому участнику от спикера</v>
      </c>
    </row>
    <row r="662" spans="1:4" ht="38.25" x14ac:dyDescent="0.2">
      <c r="A662" s="1"/>
      <c r="B662" s="4"/>
      <c r="C662" s="4" t="str">
        <f ca="1">IFERROR(__xludf.DUMMYFUNCTION("""COMPUTED_VALUE"""),"Практика осознанного прохода к управлению ресурсным состоянием")</f>
        <v>Практика осознанного прохода к управлению ресурсным состоянием</v>
      </c>
      <c r="D662" s="1" t="str">
        <f ca="1">IFERROR(__xludf.DUMMYFUNCTION("""COMPUTED_VALUE"""),"- Повышение коммуникативных умений, навыков, позволяющих улучшить работу с командой
- Повышение уровня своей эффективности, осознанности и внимательности в жизни
- Выработка эффективных методов для контроля негативных эмоциональных состояний
- Формировани"&amp;"е навыков антистрессового поведения при работе в сложных конфликтных ситуациях
- Формирование личной стратегии управления энергией")</f>
        <v>- Повышение коммуникативных умений, навыков, позволяющих улучшить работу с командой
- Повышение уровня своей эффективности, осознанности и внимательности в жизни
- Выработка эффективных методов для контроля негативных эмоциональных состояний
- Формирование навыков антистрессового поведения при работе в сложных конфликтных ситуациях
- Формирование личной стратегии управления энергией</v>
      </c>
    </row>
    <row r="663" spans="1:4" ht="51" x14ac:dyDescent="0.2">
      <c r="A663" s="1"/>
      <c r="B663" s="4" t="str">
        <f ca="1">IFERROR(__xludf.DUMMYFUNCTION("""COMPUTED_VALUE"""),"Практическое управление")</f>
        <v>Практическое управление</v>
      </c>
      <c r="C663" s="4" t="str">
        <f ca="1">IFERROR(__xludf.DUMMYFUNCTION("""COMPUTED_VALUE"""),"Управленческие навыки руководителя. Входное тестирование и разбор результатов")</f>
        <v>Управленческие навыки руководителя. Входное тестирование и разбор результатов</v>
      </c>
      <c r="D663" s="1" t="str">
        <f ca="1">IFERROR(__xludf.DUMMYFUNCTION("""COMPUTED_VALUE"""),"- Личностные качества, необходимые руководителю
- Как управлять временем и находить баланс между работой и жизнью
- Как работать с информацией и выстраивать коммуникацию 
- Формирование управленческой стратегии: поиск уникальности, оценка рисков, принятие"&amp;" решений, целеполагание, отдача указаний, делегирование  ")</f>
        <v xml:space="preserve">- Личностные качества, необходимые руководителю
- Как управлять временем и находить баланс между работой и жизнью
- Как работать с информацией и выстраивать коммуникацию 
- Формирование управленческой стратегии: поиск уникальности, оценка рисков, принятие решений, целеполагание, отдача указаний, делегирование  </v>
      </c>
    </row>
    <row r="664" spans="1:4" ht="12.75" x14ac:dyDescent="0.2">
      <c r="A664" s="1"/>
      <c r="B664" s="4" t="str">
        <f ca="1">IFERROR(__xludf.DUMMYFUNCTION("""COMPUTED_VALUE"""),"Практическое управление")</f>
        <v>Практическое управление</v>
      </c>
      <c r="C664" s="4" t="str">
        <f ca="1">IFERROR(__xludf.DUMMYFUNCTION("""COMPUTED_VALUE"""),"Целеполагание и планирование")</f>
        <v>Целеполагание и планирование</v>
      </c>
      <c r="D664" s="1" t="str">
        <f ca="1">IFERROR(__xludf.DUMMYFUNCTION("""COMPUTED_VALUE"""),"- Эффективная формулировка целей
- Требования к формулировке целей
- Виды планов: стратегические, тактические, операционные и как наполнять планы содержанием 
- Что такое карта сбалансированных показателей и как с ней работать")</f>
        <v>- Эффективная формулировка целей
- Требования к формулировке целей
- Виды планов: стратегические, тактические, операционные и как наполнять планы содержанием 
- Что такое карта сбалансированных показателей и как с ней работать</v>
      </c>
    </row>
    <row r="665" spans="1:4" ht="38.25" x14ac:dyDescent="0.2">
      <c r="A665" s="1"/>
      <c r="B665" s="4" t="str">
        <f ca="1">IFERROR(__xludf.DUMMYFUNCTION("""COMPUTED_VALUE"""),"Практическое управление")</f>
        <v>Практическое управление</v>
      </c>
      <c r="C665" s="4" t="str">
        <f ca="1">IFERROR(__xludf.DUMMYFUNCTION("""COMPUTED_VALUE"""),"Организация, организационная структура. Единоначалие и субординация")</f>
        <v>Организация, организационная структура. Единоначалие и субординация</v>
      </c>
      <c r="D665" s="1" t="str">
        <f ca="1">IFERROR(__xludf.DUMMYFUNCTION("""COMPUTED_VALUE"""),"- Подробный разбор структуры управления
- Какими свойствами обладают структуры управления 
- Формы управления 
- Правила единоначалия и субординации")</f>
        <v>- Подробный разбор структуры управления
- Какими свойствами обладают структуры управления 
- Формы управления 
- Правила единоначалия и субординации</v>
      </c>
    </row>
    <row r="666" spans="1:4" ht="12.75" x14ac:dyDescent="0.2">
      <c r="A666" s="1"/>
      <c r="B666" s="4" t="str">
        <f ca="1">IFERROR(__xludf.DUMMYFUNCTION("""COMPUTED_VALUE"""),"Практическое управление")</f>
        <v>Практическое управление</v>
      </c>
      <c r="C666" s="4" t="str">
        <f ca="1">IFERROR(__xludf.DUMMYFUNCTION("""COMPUTED_VALUE"""),"Мотивация и стимуляция")</f>
        <v>Мотивация и стимуляция</v>
      </c>
      <c r="D666" s="1" t="str">
        <f ca="1">IFERROR(__xludf.DUMMYFUNCTION("""COMPUTED_VALUE"""),"- Выявление и разбор стереотипов руководителя по поводу мотивации
- Теории мотивации и примеры их применения
- Система стимулирования: требования и примеры применения
- Требования к системе стимулирования, правил поощрений и наложения взысканий")</f>
        <v>- Выявление и разбор стереотипов руководителя по поводу мотивации
- Теории мотивации и примеры их применения
- Система стимулирования: требования и примеры применения
- Требования к системе стимулирования, правил поощрений и наложения взысканий</v>
      </c>
    </row>
    <row r="667" spans="1:4" ht="12.75" x14ac:dyDescent="0.2">
      <c r="A667" s="1"/>
      <c r="B667" s="4" t="str">
        <f ca="1">IFERROR(__xludf.DUMMYFUNCTION("""COMPUTED_VALUE"""),"Практическое управление")</f>
        <v>Практическое управление</v>
      </c>
      <c r="C667" s="4" t="str">
        <f ca="1">IFERROR(__xludf.DUMMYFUNCTION("""COMPUTED_VALUE"""),"Контроль и дисциплина ")</f>
        <v xml:space="preserve">Контроль и дисциплина </v>
      </c>
      <c r="D667" s="1" t="str">
        <f ca="1">IFERROR(__xludf.DUMMYFUNCTION("""COMPUTED_VALUE"""),"- Чем контроль отличается от дисциплины 
- Виды и формы контроля 
- Система контроля и порядок ее формирования
- Модель обеспечения трудовой дисциплины в организации")</f>
        <v>- Чем контроль отличается от дисциплины 
- Виды и формы контроля 
- Система контроля и порядок ее формирования
- Модель обеспечения трудовой дисциплины в организации</v>
      </c>
    </row>
    <row r="668" spans="1:4" ht="25.5" x14ac:dyDescent="0.2">
      <c r="A668" s="1"/>
      <c r="B668" s="4" t="str">
        <f ca="1">IFERROR(__xludf.DUMMYFUNCTION("""COMPUTED_VALUE"""),"Практическое управление")</f>
        <v>Практическое управление</v>
      </c>
      <c r="C668" s="4" t="str">
        <f ca="1">IFERROR(__xludf.DUMMYFUNCTION("""COMPUTED_VALUE"""),"Делегирование работ и полномочий")</f>
        <v>Делегирование работ и полномочий</v>
      </c>
      <c r="D668" s="1" t="str">
        <f ca="1">IFERROR(__xludf.DUMMYFUNCTION("""COMPUTED_VALUE"""),"- Инструменты делегирования: что, кому и когда делегировать
- Как подготовить сотрудника к делегированию
- Управление рисками при делегировании
- Система контроля и стимулирования при делегировании")</f>
        <v>- Инструменты делегирования: что, кому и когда делегировать
- Как подготовить сотрудника к делегированию
- Управление рисками при делегировании
- Система контроля и стимулирования при делегировании</v>
      </c>
    </row>
    <row r="669" spans="1:4" ht="63.75" x14ac:dyDescent="0.2">
      <c r="A669" s="1"/>
      <c r="B669" s="4" t="str">
        <f ca="1">IFERROR(__xludf.DUMMYFUNCTION("""COMPUTED_VALUE"""),"Практическое управление")</f>
        <v>Практическое управление</v>
      </c>
      <c r="C669" s="4" t="str">
        <f ca="1">IFERROR(__xludf.DUMMYFUNCTION("""COMPUTED_VALUE"""),"Коммуникация руководителя: приказ, распоряжение, инструкция (в т.ч. должностная), совещание, обратная связь – похвала и критика")</f>
        <v>Коммуникация руководителя: приказ, распоряжение, инструкция (в т.ч. должностная), совещание, обратная связь – похвала и критика</v>
      </c>
      <c r="D669" s="1" t="str">
        <f ca="1">IFERROR(__xludf.DUMMYFUNCTION("""COMPUTED_VALUE"""),"- Как выстроить эффективную коммуникацию руководителя
- Как формулировать и отдавать приказы и указания
- Как давать обратную связь сотрудникам: похвала, конструктивная критика
- Структура инструкций, положений и другой нормативной документации
- Проведен"&amp;"ие внутрикорпоративных встреч: собрание, совещание планерка, оперативка, летучка, защита, разбор")</f>
        <v>- Как выстроить эффективную коммуникацию руководителя
- Как формулировать и отдавать приказы и указания
- Как давать обратную связь сотрудникам: похвала, конструктивная критика
- Структура инструкций, положений и другой нормативной документации
- Проведение внутрикорпоративных встреч: собрание, совещание планерка, оперативка, летучка, защита, разбор</v>
      </c>
    </row>
    <row r="670" spans="1:4" ht="38.25" x14ac:dyDescent="0.2">
      <c r="A670" s="1"/>
      <c r="B670" s="4" t="str">
        <f ca="1">IFERROR(__xludf.DUMMYFUNCTION("""COMPUTED_VALUE"""),"Практическое управление")</f>
        <v>Практическое управление</v>
      </c>
      <c r="C670" s="4" t="str">
        <f ca="1">IFERROR(__xludf.DUMMYFUNCTION("""COMPUTED_VALUE"""),"Итоговое занятие. Резюме курса – Простые правила управления. Защита решений кейса")</f>
        <v>Итоговое занятие. Резюме курса – Простые правила управления. Защита решений кейса</v>
      </c>
      <c r="D670" s="1" t="str">
        <f ca="1">IFERROR(__xludf.DUMMYFUNCTION("""COMPUTED_VALUE"""),"- Аккумуляция полученного опыта 
- Формулирование правил управления
- Решение проблем учебного кейса
- Презентации решений проблем учебного кейса ")</f>
        <v xml:space="preserve">- Аккумуляция полученного опыта 
- Формулирование правил управления
- Решение проблем учебного кейса
- Презентации решений проблем учебного кейса </v>
      </c>
    </row>
    <row r="671" spans="1:4" ht="25.5" x14ac:dyDescent="0.2">
      <c r="A671" s="1"/>
      <c r="B671" s="4"/>
      <c r="C671" s="4" t="str">
        <f ca="1">IFERROR(__xludf.DUMMYFUNCTION("""COMPUTED_VALUE"""),"Как запустить продвижение бизнеса в интернете")</f>
        <v>Как запустить продвижение бизнеса в интернете</v>
      </c>
      <c r="D671" s="1" t="str">
        <f ca="1">IFERROR(__xludf.DUMMYFUNCTION("""COMPUTED_VALUE"""),"- Как работает маркетинг и этапы запуска продвижения бизнеса 
- Как правильно анализировать нишу и аудиторию проекта
- SWOT и PEST анализ на примере организаций, присутствующих в зале
- Изучаем конкурентов и создаем отстройку 
- Проработка проекта по «4 П"&amp;"очему»
- Подбор каналов и инструментов продвижения 
- Какие цели и KPI ставить для продвижения 
- Разработка стратегии бизнеса в интернете")</f>
        <v>- Как работает маркетинг и этапы запуска продвижения бизнеса 
- Как правильно анализировать нишу и аудиторию проекта
- SWOT и PEST анализ на примере организаций, присутствующих в зале
- Изучаем конкурентов и создаем отстройку 
- Проработка проекта по «4 Почему»
- Подбор каналов и инструментов продвижения 
- Какие цели и KPI ставить для продвижения 
- Разработка стратегии бизнеса в интернете</v>
      </c>
    </row>
    <row r="672" spans="1:4" ht="25.5" x14ac:dyDescent="0.2">
      <c r="A672" s="1"/>
      <c r="B672" s="4"/>
      <c r="C672" s="4" t="str">
        <f ca="1">IFERROR(__xludf.DUMMYFUNCTION("""COMPUTED_VALUE"""),"Основы финансового благополучия")</f>
        <v>Основы финансового благополучия</v>
      </c>
      <c r="D672" s="1" t="str">
        <f ca="1">IFERROR(__xludf.DUMMYFUNCTION("""COMPUTED_VALUE"""),"- Понятие финансовой грамотности
- Роль финансовой грамотности в жизни каждого человека
- Уровни финансовой грамотности
- Деньги. Функция и свойства
- Дисконтирование и инфляция
- Финансовое состояние
- Материальные/Нематериальные активы")</f>
        <v>- Понятие финансовой грамотности
- Роль финансовой грамотности в жизни каждого человека
- Уровни финансовой грамотности
- Деньги. Функция и свойства
- Дисконтирование и инфляция
- Финансовое состояние
- Материальные/Нематериальные активы</v>
      </c>
    </row>
    <row r="673" spans="1:4" ht="25.5" x14ac:dyDescent="0.2">
      <c r="A673" s="1"/>
      <c r="B673" s="4"/>
      <c r="C673" s="4" t="str">
        <f ca="1">IFERROR(__xludf.DUMMYFUNCTION("""COMPUTED_VALUE"""),"Финансовые системы и законы денег личных и в бизнесе")</f>
        <v>Финансовые системы и законы денег личных и в бизнесе</v>
      </c>
      <c r="D673" s="1" t="str">
        <f ca="1">IFERROR(__xludf.DUMMYFUNCTION("""COMPUTED_VALUE"""),"- Структура финансовой системы
- Финансовые организации
- Международные финансы
- Законы денег и «дыры» в которорые утекает доход
- Кредиты: потребительские, ипотечные, авто
- Предпринимательство, как источник финансовой свободы
- Основные правила управле"&amp;"ния деньгами в бизнесе")</f>
        <v>- Структура финансовой системы
- Финансовые организации
- Международные финансы
- Законы денег и «дыры» в которорые утекает доход
- Кредиты: потребительские, ипотечные, авто
- Предпринимательство, как источник финансовой свободы
- Основные правила управления деньгами в бизнесе</v>
      </c>
    </row>
    <row r="674" spans="1:4" ht="25.5" x14ac:dyDescent="0.2">
      <c r="A674" s="1"/>
      <c r="B674" s="4"/>
      <c r="C674" s="4" t="str">
        <f ca="1">IFERROR(__xludf.DUMMYFUNCTION("""COMPUTED_VALUE"""),"Как составить личный финансовый план на 5, 10 и 30 лет")</f>
        <v>Как составить личный финансовый план на 5, 10 и 30 лет</v>
      </c>
      <c r="D674" s="1" t="str">
        <f ca="1">IFERROR(__xludf.DUMMYFUNCTION("""COMPUTED_VALUE"""),"- Проработка текущего, резервного и инвестиционного капиталов
- Возможности подбора банковских продуктов для управления личным капиталом
- Стратегия. Варианты принятия финансовых решений
- Финансовое планирование
- ЛФП на 5, 10 лет, 30 лет
- Пенсионный пл"&amp;"ан")</f>
        <v>- Проработка текущего, резервного и инвестиционного капиталов
- Возможности подбора банковских продуктов для управления личным капиталом
- Стратегия. Варианты принятия финансовых решений
- Финансовое планирование
- ЛФП на 5, 10 лет, 30 лет
- Пенсионный план</v>
      </c>
    </row>
    <row r="675" spans="1:4" ht="25.5" x14ac:dyDescent="0.2">
      <c r="A675" s="1"/>
      <c r="B675" s="4"/>
      <c r="C675" s="4" t="str">
        <f ca="1">IFERROR(__xludf.DUMMYFUNCTION("""COMPUTED_VALUE"""),"Как вести личный и семейный бюджет. Деньги и дети")</f>
        <v>Как вести личный и семейный бюджет. Деньги и дети</v>
      </c>
      <c r="D675" s="1" t="str">
        <f ca="1">IFERROR(__xludf.DUMMYFUNCTION("""COMPUTED_VALUE"""),"- Правила планирования и структура личного бюджета
- Правила планирования и  структура семейного бюджета
- Недельное и месячное планирование
- Оптимизация расходов
- Инструменты и сервисы для ведения учета
- Деньги и дети")</f>
        <v>- Правила планирования и структура личного бюджета
- Правила планирования и  структура семейного бюджета
- Недельное и месячное планирование
- Оптимизация расходов
- Инструменты и сервисы для ведения учета
- Деньги и дети</v>
      </c>
    </row>
    <row r="676" spans="1:4" ht="25.5" x14ac:dyDescent="0.2">
      <c r="A676" s="1"/>
      <c r="B676" s="4"/>
      <c r="C676" s="4" t="str">
        <f ca="1">IFERROR(__xludf.DUMMYFUNCTION("""COMPUTED_VALUE"""),"Как защитить свои деньги. План финансовой безопасности")</f>
        <v>Как защитить свои деньги. План финансовой безопасности</v>
      </c>
      <c r="D676" s="1" t="str">
        <f ca="1">IFERROR(__xludf.DUMMYFUNCTION("""COMPUTED_VALUE"""),"- Инструменты финансового анализа. Перспективы и прогнозы
- Рентабельность
- Источники пассивного дохода
- «Подушка безопасности»
- Защита от мошенничества. Признаки финансовой пирамиды ")</f>
        <v xml:space="preserve">- Инструменты финансового анализа. Перспективы и прогнозы
- Рентабельность
- Источники пассивного дохода
- «Подушка безопасности»
- Защита от мошенничества. Признаки финансовой пирамиды </v>
      </c>
    </row>
    <row r="677" spans="1:4" ht="38.25" x14ac:dyDescent="0.2">
      <c r="A677" s="1"/>
      <c r="B677" s="4"/>
      <c r="C677" s="4" t="str">
        <f ca="1">IFERROR(__xludf.DUMMYFUNCTION("""COMPUTED_VALUE"""),"Главное об инвестициях и кредитование. Как извлекать максимум выгоды")</f>
        <v>Главное об инвестициях и кредитование. Как извлекать максимум выгоды</v>
      </c>
      <c r="D677" s="1" t="str">
        <f ca="1">IFERROR(__xludf.DUMMYFUNCTION("""COMPUTED_VALUE"""),"- Квадрант денежного потока
- Кредиты
- Актив/Пассив
- Возможности подбора банковских продуктов для управления личным капиталом
- Правила инвестирования")</f>
        <v>- Квадрант денежного потока
- Кредиты
- Актив/Пассив
- Возможности подбора банковских продуктов для управления личным капиталом
- Правила инвестирования</v>
      </c>
    </row>
    <row r="678" spans="1:4" ht="51" x14ac:dyDescent="0.2">
      <c r="A678" s="1"/>
      <c r="B678" s="4"/>
      <c r="C678" s="4" t="str">
        <f ca="1">IFERROR(__xludf.DUMMYFUNCTION("""COMPUTED_VALUE"""),"Ценные бумаги и антикризисный портфель для инвесторов с нулевым, начальным и средним опытом")</f>
        <v>Ценные бумаги и антикризисный портфель для инвесторов с нулевым, начальным и средним опытом</v>
      </c>
      <c r="D678" s="1" t="str">
        <f ca="1">IFERROR(__xludf.DUMMYFUNCTION("""COMPUTED_VALUE"""),"- Финансовые инструменты: банковские, брокерские, страховые, прочие
- Понятие риска, доходности, виды дохода
- Корреляция риска и доходности: по финансовым инструментам; по сроку инвестирования
- Корреляция доходности и инфляции
- Мифы доходных инструмент"&amp;"ов
- Эффективные инструменты получения пассивного дохода
- Понятие ликвидности
- Сравнение финансовых инструментов по уровню ликвидности
- Правила формирования инвестиционного портфеля: Защита-Ликвидность-Доходность; Fixed income-Growth; Акции-Облигации-Д"&amp;"еньги-Металлы и Сырье
- Антикризисные правила инвестора")</f>
        <v>- Финансовые инструменты: банковские, брокерские, страховые, прочие
- Понятие риска, доходности, виды дохода
- Корреляция риска и доходности: по финансовым инструментам; по сроку инвестирования
- Корреляция доходности и инфляции
- Мифы доходных инструментов
- Эффективные инструменты получения пассивного дохода
- Понятие ликвидности
- Сравнение финансовых инструментов по уровню ликвидности
- Правила формирования инвестиционного портфеля: Защита-Ликвидность-Доходность; Fixed income-Growth; Акции-Облигации-Деньги-Металлы и Сырье
- Антикризисные правила инвестора</v>
      </c>
    </row>
    <row r="679" spans="1:4" ht="25.5" x14ac:dyDescent="0.2">
      <c r="A679" s="1"/>
      <c r="B679" s="4"/>
      <c r="C679" s="4" t="str">
        <f ca="1">IFERROR(__xludf.DUMMYFUNCTION("""COMPUTED_VALUE"""),"Расширение финансового мышления и видения")</f>
        <v>Расширение финансового мышления и видения</v>
      </c>
      <c r="D679" s="1" t="str">
        <f ca="1">IFERROR(__xludf.DUMMYFUNCTION("""COMPUTED_VALUE"""),"- Психология денег
- Ограничивающие убеждения, страхи
- Финансовая емкость
- Правильные финансовые привычки                                        ")</f>
        <v xml:space="preserve">- Психология денег
- Ограничивающие убеждения, страхи
- Финансовая емкость
- Правильные финансовые привычки                                        </v>
      </c>
    </row>
    <row r="680" spans="1:4" ht="38.25" x14ac:dyDescent="0.2">
      <c r="A680" s="1"/>
      <c r="B680" s="4"/>
      <c r="C680" s="4" t="str">
        <f ca="1">IFERROR(__xludf.DUMMYFUNCTION("""COMPUTED_VALUE"""),"Юридические основы деятельности АНО или «АНО вам надо?»")</f>
        <v>Юридические основы деятельности АНО или «АНО вам надо?»</v>
      </c>
      <c r="D680" s="1" t="str">
        <f ca="1">IFERROR(__xludf.DUMMYFUNCTION("""COMPUTED_VALUE"""),"- Плюсы и минусы АНО, виды деятельности для которых АНО подходит лучше всего 
- Источники ресурсов и капитала для открытия и развития. Гранты, субсидии, краудфандинг, FFF, кредиты и другие явления допустимые или опасные для вашего проекта. Кто друг, а кто"&amp;" враг?   
- Преимущества и недостатки привлечения финансов со стороны. Какие риски есть в партнерстве и как их минимизировать?  
- Бизнес с нуля и с нулевыми вложениями. Нужны ли деньги для открытия бизнеса? Две стратегии для запуска нового проекта или на"&amp;"правления. Кейс «Как открыть кафе без денег?» Разбор кейсов участников ")</f>
        <v xml:space="preserve">- Плюсы и минусы АНО, виды деятельности для которых АНО подходит лучше всего 
- Источники ресурсов и капитала для открытия и развития. Гранты, субсидии, краудфандинг, FFF, кредиты и другие явления допустимые или опасные для вашего проекта. Кто друг, а кто враг?   
- Преимущества и недостатки привлечения финансов со стороны. Какие риски есть в партнерстве и как их минимизировать?  
- Бизнес с нуля и с нулевыми вложениями. Нужны ли деньги для открытия бизнеса? Две стратегии для запуска нового проекта или направления. Кейс «Как открыть кафе без денег?» Разбор кейсов участников </v>
      </c>
    </row>
    <row r="681" spans="1:4" ht="25.5" x14ac:dyDescent="0.2">
      <c r="A681" s="1"/>
      <c r="B681" s="4"/>
      <c r="C681" s="4" t="str">
        <f ca="1">IFERROR(__xludf.DUMMYFUNCTION("""COMPUTED_VALUE"""),"Частный детский сад. С чего начать?")</f>
        <v>Частный детский сад. С чего начать?</v>
      </c>
      <c r="D681" s="1" t="str">
        <f ca="1">IFERROR(__xludf.DUMMYFUNCTION("""COMPUTED_VALUE"""),"- Какие организационно-правовые формы подходят, в чем разница? Курица или яйцо? Что первично? Концепция, идея, помещение, лицензия или нормативно-правовая база? 
- СЭС, пожарная инспекция и другие друзья владельца детского садика. Когда ждать и как встреч"&amp;"ать особенных гостей?   
- Лицензия – кому нужна, что дает и что отбирает? Плюсы и минусы получения лицензии. Как работать без лицензии? Важно ли наличие лицензии для клиентов?   
- Персонал – тайны взаимоотношений. Как искать, как удержать? Способы мотив"&amp;"ации сотрудников. Как сделать, чтобы сотрудники выбирали вас?  ")</f>
        <v xml:space="preserve">- Какие организационно-правовые формы подходят, в чем разница? Курица или яйцо? Что первично? Концепция, идея, помещение, лицензия или нормативно-правовая база? 
- СЭС, пожарная инспекция и другие друзья владельца детского садика. Когда ждать и как встречать особенных гостей?   
- Лицензия – кому нужна, что дает и что отбирает? Плюсы и минусы получения лицензии. Как работать без лицензии? Важно ли наличие лицензии для клиентов?   
- Персонал – тайны взаимоотношений. Как искать, как удержать? Способы мотивации сотрудников. Как сделать, чтобы сотрудники выбирали вас?  </v>
      </c>
    </row>
    <row r="682" spans="1:4" ht="12.75" x14ac:dyDescent="0.2">
      <c r="A682" s="1"/>
      <c r="B682" s="4"/>
      <c r="C682" s="4" t="str">
        <f ca="1">IFERROR(__xludf.DUMMYFUNCTION("""COMPUTED_VALUE"""),"Основы успешного бизнеса")</f>
        <v>Основы успешного бизнеса</v>
      </c>
      <c r="D682" s="1" t="str">
        <f ca="1">IFERROR(__xludf.DUMMYFUNCTION("""COMPUTED_VALUE"""),"- Целевая аудитория или как разучиться продавать всем подряд. Ядра целевой аудитории. Азы партнерского маркетинга или где ловить вашего клиента
- Пять факторов, влияющих на прибыль, или что надо знать о своем бизнесе чтобы он рос. Рост доходов, сокращение"&amp;" расходов и что еще важно считать? Изучаем на примерах как сделать в прибыли «1+1=11»
- Позиционирование. Чем вы лучше других? Почему важно знать десять своих отличий? 
- Сопутствующие услуги. Для чего внедрять? Как оценивать? Продаем дорого или бесплатно"&amp;", или что кроме денег можно получить от клиента
- Кейс «Группа для аутистов». Объем рынка. Спектр услуг. Формирование цены
- Кейс «Сезонные лагеря». Концепция. Ресурсы. Прибыльность 
- Корпоративный детский сад. Зачем вы заказчику? Как заинтересовать зака"&amp;"зчика, если у его сотрудников нет детей? Что просить кроме денег?")</f>
        <v>- Целевая аудитория или как разучиться продавать всем подряд. Ядра целевой аудитории. Азы партнерского маркетинга или где ловить вашего клиента
- Пять факторов, влияющих на прибыль, или что надо знать о своем бизнесе чтобы он рос. Рост доходов, сокращение расходов и что еще важно считать? Изучаем на примерах как сделать в прибыли «1+1=11»
- Позиционирование. Чем вы лучше других? Почему важно знать десять своих отличий? 
- Сопутствующие услуги. Для чего внедрять? Как оценивать? Продаем дорого или бесплатно, или что кроме денег можно получить от клиента
- Кейс «Группа для аутистов». Объем рынка. Спектр услуг. Формирование цены
- Кейс «Сезонные лагеря». Концепция. Ресурсы. Прибыльность 
- Корпоративный детский сад. Зачем вы заказчику? Как заинтересовать заказчика, если у его сотрудников нет детей? Что просить кроме денег?</v>
      </c>
    </row>
    <row r="683" spans="1:4" ht="12.75" x14ac:dyDescent="0.2">
      <c r="A683" s="1"/>
      <c r="B683" s="4"/>
      <c r="C683" s="4" t="str">
        <f ca="1">IFERROR(__xludf.DUMMYFUNCTION("""COMPUTED_VALUE"""),"Нормы СанПина для бьюти сферы")</f>
        <v>Нормы СанПина для бьюти сферы</v>
      </c>
      <c r="D683" s="1" t="str">
        <f ca="1">IFERROR(__xludf.DUMMYFUNCTION("""COMPUTED_VALUE"""),"- Нормы СанПина
- Дезинфекционные мероприятия
- Необходимые договора
- Документы, которые надо знать
- Журналы стандартные и «ковидные»")</f>
        <v>- Нормы СанПина
- Дезинфекционные мероприятия
- Необходимые договора
- Документы, которые надо знать
- Журналы стандартные и «ковидные»</v>
      </c>
    </row>
    <row r="684" spans="1:4" ht="51" x14ac:dyDescent="0.2">
      <c r="A684" s="1"/>
      <c r="B684" s="4"/>
      <c r="C684" s="4" t="str">
        <f ca="1">IFERROR(__xludf.DUMMYFUNCTION("""COMPUTED_VALUE"""),"Основы финансового благополучия. Расширение финансового мышления и видения")</f>
        <v>Основы финансового благополучия. Расширение финансового мышления и видения</v>
      </c>
      <c r="D684" s="1" t="str">
        <f ca="1">IFERROR(__xludf.DUMMYFUNCTION("""COMPUTED_VALUE"""),"- Что такое финансовая грамотность и зачем она нужна?
- Что будет, если НЕ будет финансового плана?
- Где мы теряем деньги: какие не используем скидки, акции, кешбеки, налоговые вычеты
- Как инфляция влияет на стоимость товаров?
- Почему важно повышат"&amp;"ь стоимость своих услуг?
- Как монетизировать хобби?
- Психология денег. Ограничивающие установки и страхи")</f>
        <v>- Что такое финансовая грамотность и зачем она нужна?
- Что будет, если НЕ будет финансового плана?
- Где мы теряем деньги: какие не используем скидки, акции, кешбеки, налоговые вычеты
- Как инфляция влияет на стоимость товаров?
- Почему важно повышать стоимость своих услуг?
- Как монетизировать хобби?
- Психология денег. Ограничивающие установки и страхи</v>
      </c>
    </row>
    <row r="685" spans="1:4" ht="25.5" x14ac:dyDescent="0.2">
      <c r="A685" s="1"/>
      <c r="B685" s="4"/>
      <c r="C685" s="4" t="str">
        <f ca="1">IFERROR(__xludf.DUMMYFUNCTION("""COMPUTED_VALUE"""),"Целеполагание. Как грамотно ставить цели")</f>
        <v>Целеполагание. Как грамотно ставить цели</v>
      </c>
      <c r="D685" s="1" t="str">
        <f ca="1">IFERROR(__xludf.DUMMYFUNCTION("""COMPUTED_VALUE"""),"- Какие цели бывают и как их ставить, чтобы достигать?
- Достижение денежных целей: в каком случае нужно откладывать деньги в банк, а в каком инвестировать? Как определить способ накопления?")</f>
        <v>- Какие цели бывают и как их ставить, чтобы достигать?
- Достижение денежных целей: в каком случае нужно откладывать деньги в банк, а в каком инвестировать? Как определить способ накопления?</v>
      </c>
    </row>
    <row r="686" spans="1:4" ht="25.5" x14ac:dyDescent="0.2">
      <c r="A686" s="1"/>
      <c r="B686" s="4"/>
      <c r="C686" s="4" t="str">
        <f ca="1">IFERROR(__xludf.DUMMYFUNCTION("""COMPUTED_VALUE"""),"Как вести семейный бюджет. Активы и пассивы")</f>
        <v>Как вести семейный бюджет. Активы и пассивы</v>
      </c>
      <c r="D686" s="1" t="str">
        <f ca="1">IFERROR(__xludf.DUMMYFUNCTION("""COMPUTED_VALUE"""),"- Способы учёта доходов и расходов
- Анализ и оптимизация расходов
- Планирование бюджета на месяц и год вперёд
- Анализ активов
- Как избавиться от пассивов
")</f>
        <v xml:space="preserve">- Способы учёта доходов и расходов
- Анализ и оптимизация расходов
- Планирование бюджета на месяц и год вперёд
- Анализ активов
- Как избавиться от пассивов
</v>
      </c>
    </row>
    <row r="687" spans="1:4" ht="12.75" x14ac:dyDescent="0.2">
      <c r="A687" s="1"/>
      <c r="B687" s="4"/>
      <c r="C687" s="4" t="str">
        <f ca="1">IFERROR(__xludf.DUMMYFUNCTION("""COMPUTED_VALUE"""),"План финансовой безопасности")</f>
        <v>План финансовой безопасности</v>
      </c>
      <c r="D687" s="1" t="str">
        <f ca="1">IFERROR(__xludf.DUMMYFUNCTION("""COMPUTED_VALUE"""),"- Какие риски бывают?
- Как защититься от рисков?
- Подушка безопасности: как создать, какой нужен размер, где хранить?
- Подушку безопасности нужно хранить под подушкой? Другие эффективные способы хранения ""подушки""
- Страхование: какие риски покрывает"&amp;", как выбрать страховую компанию и страховой план?
- Как не попасться на финансовых мошенников
")</f>
        <v xml:space="preserve">- Какие риски бывают?
- Как защититься от рисков?
- Подушка безопасности: как создать, какой нужен размер, где хранить?
- Подушку безопасности нужно хранить под подушкой? Другие эффективные способы хранения "подушки"
- Страхование: какие риски покрывает, как выбрать страховую компанию и страховой план?
- Как не попасться на финансовых мошенников
</v>
      </c>
    </row>
    <row r="688" spans="1:4" ht="38.25" x14ac:dyDescent="0.2">
      <c r="A688" s="1"/>
      <c r="B688" s="4"/>
      <c r="C688" s="4" t="str">
        <f ca="1">IFERROR(__xludf.DUMMYFUNCTION("""COMPUTED_VALUE"""),"Инвестиции - как использовать личные деньги для того, чтобы достичь целей")</f>
        <v>Инвестиции - как использовать личные деньги для того, чтобы достичь целей</v>
      </c>
      <c r="D688" s="1" t="str">
        <f ca="1">IFERROR(__xludf.DUMMYFUNCTION("""COMPUTED_VALUE"""),"- Основные виды ценных бумаг, основные понятия  
- Какие стратегии инвестирования бывают?
- На какую доходность стоит рассчитывать?
- Как выбрать подходящего брокера и способ инвестирования?
- Индивидуальный инвестиционный счёт. Понятие и особенности
"&amp;"
- Как составить простой портфель начинающему инвестору?
- Как автоматизировать инвестиции и защитить деньги от третьих лиц?")</f>
        <v>- Основные виды ценных бумаг, основные понятия  
- Какие стратегии инвестирования бывают?
- На какую доходность стоит рассчитывать?
- Как выбрать подходящего брокера и способ инвестирования?
- Индивидуальный инвестиционный счёт. Понятие и особенности
- Как составить простой портфель начинающему инвестору?
- Как автоматизировать инвестиции и защитить деньги от третьих лиц?</v>
      </c>
    </row>
    <row r="689" spans="1:4" ht="12.75" x14ac:dyDescent="0.2">
      <c r="A689" s="1"/>
      <c r="B689" s="4"/>
      <c r="C689" s="4" t="str">
        <f ca="1">IFERROR(__xludf.DUMMYFUNCTION("""COMPUTED_VALUE"""),"Трекерская встреча №1 ")</f>
        <v xml:space="preserve">Трекерская встреча №1 </v>
      </c>
      <c r="D689" s="1" t="str">
        <f ca="1">IFERROR(__xludf.DUMMYFUNCTION("""COMPUTED_VALUE"""),"- Формирование ценностного предложения
- Модель Остервальдера и Пинье
- Работа с трекерами по группам")</f>
        <v>- Формирование ценностного предложения
- Модель Остервальдера и Пинье
- Работа с трекерами по группам</v>
      </c>
    </row>
    <row r="690" spans="1:4" ht="12.75" x14ac:dyDescent="0.2">
      <c r="A690" s="1"/>
      <c r="B690" s="4"/>
      <c r="C690" s="4" t="str">
        <f ca="1">IFERROR(__xludf.DUMMYFUNCTION("""COMPUTED_VALUE"""),"Трекерская встреча №2")</f>
        <v>Трекерская встреча №2</v>
      </c>
      <c r="D690" s="1" t="str">
        <f ca="1">IFERROR(__xludf.DUMMYFUNCTION("""COMPUTED_VALUE"""),"- Финансовый план
- Финансовое моделирование
- Работа с трекерами по группам")</f>
        <v>- Финансовый план
- Финансовое моделирование
- Работа с трекерами по группам</v>
      </c>
    </row>
    <row r="691" spans="1:4" ht="12.75" x14ac:dyDescent="0.2">
      <c r="A691" s="1"/>
      <c r="B691" s="4"/>
      <c r="C691" s="4" t="str">
        <f ca="1">IFERROR(__xludf.DUMMYFUNCTION("""COMPUTED_VALUE"""),"Трекерская встреча №3")</f>
        <v>Трекерская встреча №3</v>
      </c>
      <c r="D691" s="1" t="str">
        <f ca="1">IFERROR(__xludf.DUMMYFUNCTION("""COMPUTED_VALUE"""),"- Организационный план
- Презентация проектов
- Работа с трекерами по группам")</f>
        <v>- Организационный план
- Презентация проектов
- Работа с трекерами по группам</v>
      </c>
    </row>
    <row r="692" spans="1:4" ht="12.75" x14ac:dyDescent="0.2">
      <c r="A692" s="1"/>
      <c r="B692" s="4"/>
      <c r="C692" s="4" t="str">
        <f ca="1">IFERROR(__xludf.DUMMYFUNCTION("""COMPUTED_VALUE"""),"Вводный вебинар")</f>
        <v>Вводный вебинар</v>
      </c>
      <c r="D692" s="1" t="str">
        <f ca="1">IFERROR(__xludf.DUMMYFUNCTION("""COMPUTED_VALUE"""),"- Знакомство
- Управление проектами
- Бизнес-планирование
- Распределение на проектные группы")</f>
        <v>- Знакомство
- Управление проектами
- Бизнес-планирование
- Распределение на проектные группы</v>
      </c>
    </row>
    <row r="693" spans="1:4" ht="51" x14ac:dyDescent="0.2">
      <c r="A693" s="1"/>
      <c r="B693" s="4"/>
      <c r="C693" s="4" t="str">
        <f ca="1">IFERROR(__xludf.DUMMYFUNCTION("""COMPUTED_VALUE"""),"Ловушки мозга. Как новые технологии влияют на наш мозг и психику? Что делать, чтобы мозг не разленился")</f>
        <v>Ловушки мозга. Как новые технологии влияют на наш мозг и психику? Что делать, чтобы мозг не разленился</v>
      </c>
      <c r="D693" s="1" t="str">
        <f ca="1">IFERROR(__xludf.DUMMYFUNCTION("""COMPUTED_VALUE"""),"- Как работает мозг и наш организм?
- Что такое биохакинг?
- Почему мы не можем заставить себя что-то делать?
- Причина отсутствия силы воли
- Причина лени и прокрастинации
- 5-ти уровневая система жизненной энергии
- Из чего состоит мотивация?
- В"&amp;"ажные для жизни гормоны
- РАС - что это и как влияет на жизнь?
- Как достичь своей цели на 100%?")</f>
        <v>- Как работает мозг и наш организм?
- Что такое биохакинг?
- Почему мы не можем заставить себя что-то делать?
- Причина отсутствия силы воли
- Причина лени и прокрастинации
- 5-ти уровневая система жизненной энергии
- Из чего состоит мотивация?
- Важные для жизни гормоны
- РАС - что это и как влияет на жизнь?
- Как достичь своей цели на 100%?</v>
      </c>
    </row>
    <row r="694" spans="1:4" ht="25.5" x14ac:dyDescent="0.2">
      <c r="A694" s="1"/>
      <c r="B694" s="4"/>
      <c r="C694" s="4" t="str">
        <f ca="1">IFERROR(__xludf.DUMMYFUNCTION("""COMPUTED_VALUE"""),"Маркеплейсы. Быстрый старт и экспорт")</f>
        <v>Маркеплейсы. Быстрый старт и экспорт</v>
      </c>
      <c r="D694" s="1" t="str">
        <f ca="1">IFERROR(__xludf.DUMMYFUNCTION("""COMPUTED_VALUE"""),"- Обзор международных и российских маркетплейсов от Wildberries до Ebay 
- Как работает модель маркетплейс: регистрация, логистика, маркетинг, взаиморасчеты
- Правила успешных продаж: контент, аналитика, отзывы
- Выбираем товар для успешного запуска  
"&amp;"
- Услуги на маркетплейсах. Увеличиваем продажи и создаем экосистему")</f>
        <v>- Обзор международных и российских маркетплейсов от Wildberries до Ebay 
- Как работает модель маркетплейс: регистрация, логистика, маркетинг, взаиморасчеты
- Правила успешных продаж: контент, аналитика, отзывы
- Выбираем товар для успешного запуска  
- Услуги на маркетплейсах. Увеличиваем продажи и создаем экосистему</v>
      </c>
    </row>
    <row r="695" spans="1:4" ht="38.25" x14ac:dyDescent="0.2">
      <c r="A695" s="1"/>
      <c r="B695" s="4"/>
      <c r="C695" s="4" t="str">
        <f ca="1">IFERROR(__xludf.DUMMYFUNCTION("""COMPUTED_VALUE"""),"Как выбрать и купить франшизу для бизнеса, чтобы вас не обманули")</f>
        <v>Как выбрать и купить франшизу для бизнеса, чтобы вас не обманули</v>
      </c>
      <c r="D695" s="1" t="str">
        <f ca="1">IFERROR(__xludf.DUMMYFUNCTION("""COMPUTED_VALUE"""),"- Как определиться с нишей? 
- Каким критериям должна соответствовать франшиза? 
- Где искать франшизу?
- Обзор франчайзинговых площадок
- Какие франшизы будут востребованы в ближайшем будущем? 
- Рентабельна ли франшиза в микрогородах?
- Как правил"&amp;"ьно выбрать франшизу? Оценка по авторской модели по 30 критериям")</f>
        <v>- Как определиться с нишей? 
- Каким критериям должна соответствовать франшиза? 
- Где искать франшизу?
- Обзор франчайзинговых площадок
- Какие франшизы будут востребованы в ближайшем будущем? 
- Рентабельна ли франшиза в микрогородах?
- Как правильно выбрать франшизу? Оценка по авторской модели по 30 критериям</v>
      </c>
    </row>
    <row r="696" spans="1:4" ht="38.25" x14ac:dyDescent="0.2">
      <c r="A696" s="1"/>
      <c r="B696" s="4"/>
      <c r="C696" s="4" t="str">
        <f ca="1">IFERROR(__xludf.DUMMYFUNCTION("""COMPUTED_VALUE"""),"Диверсификация как основной инструмент масштабирования бизнеса")</f>
        <v>Диверсификация как основной инструмент масштабирования бизнеса</v>
      </c>
      <c r="D696" s="1" t="str">
        <f ca="1">IFERROR(__xludf.DUMMYFUNCTION("""COMPUTED_VALUE"""),"- Как улучшить привлекательность товара благодаря его разнообразию?
- Как правильно оценить текущее и дальнейшее положение фирмы? 
- Когда нужна диверсификация бизнеса?
- Какие существуют типы стратегий диверсификации?")</f>
        <v>- Как улучшить привлекательность товара благодаря его разнообразию?
- Как правильно оценить текущее и дальнейшее положение фирмы? 
- Когда нужна диверсификация бизнеса?
- Какие существуют типы стратегий диверсификации?</v>
      </c>
    </row>
    <row r="697" spans="1:4" ht="38.25" x14ac:dyDescent="0.2">
      <c r="A697" s="1"/>
      <c r="B697" s="4"/>
      <c r="C697" s="4" t="str">
        <f ca="1">IFERROR(__xludf.DUMMYFUNCTION("""COMPUTED_VALUE"""),"Время трансформации: как бизнесу развиваться в цифровой реальности")</f>
        <v>Время трансформации: как бизнесу развиваться в цифровой реальности</v>
      </c>
      <c r="D697" s="1" t="str">
        <f ca="1">IFERROR(__xludf.DUMMYFUNCTION("""COMPUTED_VALUE"""),"- Как цифровизация помогает конкуренции?
- Преимущества цифровизации 
- Цифровая модель предприятия")</f>
        <v>- Как цифровизация помогает конкуренции?
- Преимущества цифровизации 
- Цифровая модель предприятия</v>
      </c>
    </row>
    <row r="698" spans="1:4" ht="25.5" x14ac:dyDescent="0.2">
      <c r="A698" s="1"/>
      <c r="B698" s="4"/>
      <c r="C698" s="4" t="str">
        <f ca="1">IFERROR(__xludf.DUMMYFUNCTION("""COMPUTED_VALUE"""),"Тренды на рынках: 13 идей для бизнеса будущего")</f>
        <v>Тренды на рынках: 13 идей для бизнеса будущего</v>
      </c>
      <c r="D698" s="1" t="str">
        <f ca="1">IFERROR(__xludf.DUMMYFUNCTION("""COMPUTED_VALUE"""),"- Обзор мировых бизнес-трендов
- Вечные рыночные ниши
- Практикум-brainstorming по бизнес-идеям будущего")</f>
        <v>- Обзор мировых бизнес-трендов
- Вечные рыночные ниши
- Практикум-brainstorming по бизнес-идеям будущего</v>
      </c>
    </row>
    <row r="699" spans="1:4" ht="12.75" x14ac:dyDescent="0.2">
      <c r="A699" s="1"/>
      <c r="B699" s="4"/>
      <c r="C699" s="4" t="str">
        <f ca="1">IFERROR(__xludf.DUMMYFUNCTION("""COMPUTED_VALUE"""),"Консультации экспертов")</f>
        <v>Консультации экспертов</v>
      </c>
      <c r="D699" s="1"/>
    </row>
    <row r="700" spans="1:4" ht="25.5" x14ac:dyDescent="0.2">
      <c r="A700" s="1"/>
      <c r="B700" s="4"/>
      <c r="C700" s="4" t="str">
        <f ca="1">IFERROR(__xludf.DUMMYFUNCTION("""COMPUTED_VALUE"""),"Личная эффективность предпринимателя")</f>
        <v>Личная эффективность предпринимателя</v>
      </c>
      <c r="D700" s="1" t="str">
        <f ca="1">IFERROR(__xludf.DUMMYFUNCTION("""COMPUTED_VALUE"""),"- Как правильно ставить цели и достигать их без стресса и выгорания?
- Что такое элементарные формулировки?
- Золотой час, таймер Помадорро и поддерживающие пространство. Инструменты личной эффективности
- Кто такой Паркинсон и старуха Зергайник?")</f>
        <v>- Как правильно ставить цели и достигать их без стресса и выгорания?
- Что такое элементарные формулировки?
- Золотой час, таймер Помадорро и поддерживающие пространство. Инструменты личной эффективности
- Кто такой Паркинсон и старуха Зергайник?</v>
      </c>
    </row>
    <row r="701" spans="1:4" ht="12.75" x14ac:dyDescent="0.2">
      <c r="A701" s="1"/>
      <c r="B701" s="4"/>
      <c r="C701" s="4" t="str">
        <f ca="1">IFERROR(__xludf.DUMMYFUNCTION("""COMPUTED_VALUE"""),"Продуктовая линейка")</f>
        <v>Продуктовая линейка</v>
      </c>
      <c r="D701" s="1" t="str">
        <f ca="1">IFERROR(__xludf.DUMMYFUNCTION("""COMPUTED_VALUE"""),"- Что должна содержать продуктовая линейка?
- Как разработать продуктовую линейку?
- Что такое продуктовая линейка для продвижения личного бренда предпринимателя?")</f>
        <v>- Что должна содержать продуктовая линейка?
- Как разработать продуктовую линейку?
- Что такое продуктовая линейка для продвижения личного бренда предпринимателя?</v>
      </c>
    </row>
    <row r="702" spans="1:4" ht="51" x14ac:dyDescent="0.2">
      <c r="A702" s="1"/>
      <c r="B702" s="4"/>
      <c r="C702" s="4" t="str">
        <f ca="1">IFERROR(__xludf.DUMMYFUNCTION("""COMPUTED_VALUE"""),"Дизайн-мышление как инструмент выхода за рамки привычного и обнаружения нечто нового для своего бизнеса")</f>
        <v>Дизайн-мышление как инструмент выхода за рамки привычного и обнаружения нечто нового для своего бизнеса</v>
      </c>
      <c r="D702" s="1" t="str">
        <f ca="1">IFERROR(__xludf.DUMMYFUNCTION("""COMPUTED_VALUE"""),"- Основы Дизайн-мышления
- Игра «Сахар»: что забывают предприниматели, работая с клиентом?
- Эмпатия + отношение. Инструменты исследования
- Главные инструменты Дизайн-мышления и их применение в бизнесе
- Практическая работа на поиск ответов для своего би"&amp;"знеса
- Управление — основа бизнеса. Практическая активность для выявления слабых сторон. Обучение через практику
- Модель сервиса — то, что делает компанию и ее результаты на данный момент")</f>
        <v>- Основы Дизайн-мышления
- Игра «Сахар»: что забывают предприниматели, работая с клиентом?
- Эмпатия + отношение. Инструменты исследования
- Главные инструменты Дизайн-мышления и их применение в бизнесе
- Практическая работа на поиск ответов для своего бизнеса
- Управление — основа бизнеса. Практическая активность для выявления слабых сторон. Обучение через практику
- Модель сервиса — то, что делает компанию и ее результаты на данный момент</v>
      </c>
    </row>
    <row r="703" spans="1:4" ht="51" x14ac:dyDescent="0.2">
      <c r="A703" s="1"/>
      <c r="B703" s="4"/>
      <c r="C703" s="4" t="str">
        <f ca="1">IFERROR(__xludf.DUMMYFUNCTION("""COMPUTED_VALUE"""),"Законодательное регулирование социального бизнеса
Идеальная команда в социальном проекте")</f>
        <v>Законодательное регулирование социального бизнеса
Идеальная команда в социальном проекте</v>
      </c>
      <c r="D703" s="1" t="str">
        <f ca="1">IFERROR(__xludf.DUMMYFUNCTION("""COMPUTED_VALUE"""),"- Основные положения закона о социальном предпринимательстве
- Основные механизмы получения статуса «Социальное предприятие» 
- Доступные программы поддержки социального предпринимательства
- Источники финансирования социального бизнеса
- Где найти команд"&amp;"у, как ее замотивировать и не растерять по пути
- Как выстроить отношения с партнерами, чтобы каждый отвечал за свою область")</f>
        <v>- Основные положения закона о социальном предпринимательстве
- Основные механизмы получения статуса «Социальное предприятие» 
- Доступные программы поддержки социального предпринимательства
- Источники финансирования социального бизнеса
- Где найти команду, как ее замотивировать и не растерять по пути
- Как выстроить отношения с партнерами, чтобы каждый отвечал за свою область</v>
      </c>
    </row>
    <row r="704" spans="1:4" ht="38.25" x14ac:dyDescent="0.2">
      <c r="A704" s="1"/>
      <c r="B704" s="4"/>
      <c r="C704" s="4" t="str">
        <f ca="1">IFERROR(__xludf.DUMMYFUNCTION("""COMPUTED_VALUE"""),"Сильная и независимая самозанятая. Возможности и ограничения налогового режима")</f>
        <v>Сильная и независимая самозанятая. Возможности и ограничения налогового режима</v>
      </c>
      <c r="D704" s="1" t="str">
        <f ca="1">IFERROR(__xludf.DUMMYFUNCTION("""COMPUTED_VALUE"""),"- Преимущества и недостатки режима самозанятости
- ООО, ИП и самозанятые - как совместить?
- Самозанятость и работа по найму
- Как заключить договор с самозанятым?
- Что выгоднее: НПД или ИП на УСН?
- Налоговый вычет
- Ограничения самозанятого по выручке "&amp;"и видам деятельности
- Доход от подработок без рисков получения штрафа за незаконную предпринимательскую деятельность
- Господдержка для данной категории
- Возможность участия в тендерах. Изменения законодательства в пользу самозанятого
- Статус самозанят"&amp;"ого как возможность безопасно работать с банками, не бояться контрольно-надзорных органов
- Как самозанятым развивать свои услуги в регионах?
- Лайфхаки для самозанятых: как стартануть и найти клиентов?
- Актуальные вопросы во взаимодействии с клиентами
-"&amp;" Самозанятость и крупный бизнес - реально?
- Работа с партнерами")</f>
        <v>- Преимущества и недостатки режима самозанятости
- ООО, ИП и самозанятые - как совместить?
- Самозанятость и работа по найму
- Как заключить договор с самозанятым?
- Что выгоднее: НПД или ИП на УСН?
- Налоговый вычет
- Ограничения самозанятого по выручке и видам деятельности
- Доход от подработок без рисков получения штрафа за незаконную предпринимательскую деятельность
- Господдержка для данной категории
- Возможность участия в тендерах. Изменения законодательства в пользу самозанятого
- Статус самозанятого как возможность безопасно работать с банками, не бояться контрольно-надзорных органов
- Как самозанятым развивать свои услуги в регионах?
- Лайфхаки для самозанятых: как стартануть и найти клиентов?
- Актуальные вопросы во взаимодействии с клиентами
- Самозанятость и крупный бизнес - реально?
- Работа с партнерами</v>
      </c>
    </row>
    <row r="705" spans="1:4" ht="38.25" x14ac:dyDescent="0.2">
      <c r="A705" s="1"/>
      <c r="B705" s="4"/>
      <c r="C705" s="4" t="str">
        <f ca="1">IFERROR(__xludf.DUMMYFUNCTION("""COMPUTED_VALUE"""),"Как продавать свои услуги с помощью публичных выступлений?")</f>
        <v>Как продавать свои услуги с помощью публичных выступлений?</v>
      </c>
      <c r="D705" s="1" t="str">
        <f ca="1">IFERROR(__xludf.DUMMYFUNCTION("""COMPUTED_VALUE"""),"- Как сформировать свой личный бренд?
- Структура самопрезентации: как продать интерес к себе за 30 секунд?
- Развитие речи и голоса: гимнастика, упражнения на каждый день
- Усилители выступления: презентация, визуал, метафоры и интерактив
- Что сделает л"&amp;"юбое выступление ярким? Примеры, визуализация, истории, диалог и интерактивность, демонстрации и тест-драйв
- Невербальные приемы в вашем выступлении. Включаем харизму и отключаем страхи на сцене и перед камерой")</f>
        <v>- Как сформировать свой личный бренд?
- Структура самопрезентации: как продать интерес к себе за 30 секунд?
- Развитие речи и голоса: гимнастика, упражнения на каждый день
- Усилители выступления: презентация, визуал, метафоры и интерактив
- Что сделает любое выступление ярким? Примеры, визуализация, истории, диалог и интерактивность, демонстрации и тест-драйв
- Невербальные приемы в вашем выступлении. Включаем харизму и отключаем страхи на сцене и перед камерой</v>
      </c>
    </row>
    <row r="706" spans="1:4" ht="38.25" x14ac:dyDescent="0.2">
      <c r="A706" s="1"/>
      <c r="B706" s="4"/>
      <c r="C706" s="4" t="str">
        <f ca="1">IFERROR(__xludf.DUMMYFUNCTION("""COMPUTED_VALUE"""),"Личная эффективность: достижение целей без стресса и выгорания")</f>
        <v>Личная эффективность: достижение целей без стресса и выгорания</v>
      </c>
      <c r="D706" s="1" t="str">
        <f ca="1">IFERROR(__xludf.DUMMYFUNCTION("""COMPUTED_VALUE"""),"- Правила тайм-менеджмента: как организовать эффективный рабочий день? 
- Что делать когда нет сил? Откуда брать энергию? 
- Бизнес и семья: достижение гармонии
- Постановка целей на ближайшие 3 месяца: как их достичь без стресса?")</f>
        <v>- Правила тайм-менеджмента: как организовать эффективный рабочий день? 
- Что делать когда нет сил? Откуда брать энергию? 
- Бизнес и семья: достижение гармонии
- Постановка целей на ближайшие 3 месяца: как их достичь без стресса?</v>
      </c>
    </row>
    <row r="707" spans="1:4" ht="51" x14ac:dyDescent="0.2">
      <c r="A707" s="1"/>
      <c r="B707" s="4"/>
      <c r="C707" s="4" t="str">
        <f ca="1">IFERROR(__xludf.DUMMYFUNCTION("""COMPUTED_VALUE"""),"Создание продукта: как находить идеи, как управлять разработками, как формировать ценность продукта  ")</f>
        <v xml:space="preserve">Создание продукта: как находить идеи, как управлять разработками, как формировать ценность продукта  </v>
      </c>
      <c r="D707" s="1" t="str">
        <f ca="1">IFERROR(__xludf.DUMMYFUNCTION("""COMPUTED_VALUE"""),"- ТОП-5 эффективных техник для генераций новых идей в бизнесе 
- Что такое продукт? Основные участники создания продукта 
- Формулы создания гениальных УТП (уникальных торговых предложений)")</f>
        <v>- ТОП-5 эффективных техник для генераций новых идей в бизнесе 
- Что такое продукт? Основные участники создания продукта 
- Формулы создания гениальных УТП (уникальных торговых предложений)</v>
      </c>
    </row>
    <row r="708" spans="1:4" ht="25.5" x14ac:dyDescent="0.2">
      <c r="A708" s="1"/>
      <c r="B708" s="4"/>
      <c r="C708" s="4" t="str">
        <f ca="1">IFERROR(__xludf.DUMMYFUNCTION("""COMPUTED_VALUE"""),"Как запустить продвижение бизнеса в интернете")</f>
        <v>Как запустить продвижение бизнеса в интернете</v>
      </c>
      <c r="D708" s="1" t="str">
        <f ca="1">IFERROR(__xludf.DUMMYFUNCTION("""COMPUTED_VALUE"""),"- Как работает маркетинг и этапы запуска продвижения бизнеса 
- Как правильно анализировать нишу и аудиторию проекта
- Изучаем конкурентов и создаем отстройку 
- Проработка проекта по «4 Почему»
")</f>
        <v xml:space="preserve">- Как работает маркетинг и этапы запуска продвижения бизнеса 
- Как правильно анализировать нишу и аудиторию проекта
- Изучаем конкурентов и создаем отстройку 
- Проработка проекта по «4 Почему»
</v>
      </c>
    </row>
    <row r="709" spans="1:4" ht="25.5" x14ac:dyDescent="0.2">
      <c r="A709" s="1"/>
      <c r="B709" s="4"/>
      <c r="C709" s="4" t="str">
        <f ca="1">IFERROR(__xludf.DUMMYFUNCTION("""COMPUTED_VALUE"""),"Встреча 1. Мини-группа с трекером (дневная)")</f>
        <v>Встреча 1. Мини-группа с трекером (дневная)</v>
      </c>
      <c r="D709" s="1" t="str">
        <f ca="1">IFERROR(__xludf.DUMMYFUNCTION("""COMPUTED_VALUE"""),"-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заверш"&amp;"ению трекерских встреч, через какие каналы планируют реализовывать товар")</f>
        <v>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завершению трекерских встреч, через какие каналы планируют реализовывать товар</v>
      </c>
    </row>
    <row r="710" spans="1:4" ht="25.5" x14ac:dyDescent="0.2">
      <c r="A710" s="1"/>
      <c r="B710" s="4"/>
      <c r="C710" s="4" t="str">
        <f ca="1">IFERROR(__xludf.DUMMYFUNCTION("""COMPUTED_VALUE"""),"Встреча 1. Мини-группа с трекером (вечерняя)")</f>
        <v>Встреча 1. Мини-группа с трекером (вечерняя)</v>
      </c>
      <c r="D710" s="1" t="str">
        <f ca="1">IFERROR(__xludf.DUMMYFUNCTION("""COMPUTED_VALUE"""),"-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заверш"&amp;"ению трекерских встреч, через какие каналы планируют реализовывать товар")</f>
        <v>- Знакомство
- Постановка целей на программу
- Замер точки «А»: разбор действующей ситуации участников: присутствуют ли участники на маркетплейсах, выбран ли товар для продажи на маркетплейсах
- План на точку «Б»: к чему участник хочет прийти по завершению трекерских встреч, через какие каналы планируют реализовывать товар</v>
      </c>
    </row>
    <row r="711" spans="1:4" ht="25.5" x14ac:dyDescent="0.2">
      <c r="A711" s="1"/>
      <c r="B711" s="4"/>
      <c r="C711" s="4" t="str">
        <f ca="1">IFERROR(__xludf.DUMMYFUNCTION("""COMPUTED_VALUE"""),"Встреча 2. Мини-группа с трекером (дневная)")</f>
        <v>Встреча 2. Мини-группа с трекером (дневная)</v>
      </c>
      <c r="D711" s="1" t="str">
        <f ca="1">IFERROR(__xludf.DUMMYFUNCTION("""COMPUTED_VALUE"""),"- Выбор и анализ товара для продаж
- Выстраивание персональной стратегии
- Обозначение первых шагов по своим целям
")</f>
        <v xml:space="preserve">- Выбор и анализ товара для продаж
- Выстраивание персональной стратегии
- Обозначение первых шагов по своим целям
</v>
      </c>
    </row>
    <row r="712" spans="1:4" ht="25.5" x14ac:dyDescent="0.2">
      <c r="A712" s="1"/>
      <c r="B712" s="4"/>
      <c r="C712" s="4" t="str">
        <f ca="1">IFERROR(__xludf.DUMMYFUNCTION("""COMPUTED_VALUE"""),"Встреча 2. Мини-группа с трекером (вечерняя)")</f>
        <v>Встреча 2. Мини-группа с трекером (вечерняя)</v>
      </c>
      <c r="D712" s="1" t="str">
        <f ca="1">IFERROR(__xludf.DUMMYFUNCTION("""COMPUTED_VALUE"""),"- Выбор и анализ товара для продаж
- Выстраивание персональной стратегии
- Обозначение первых шагов по своим целям
")</f>
        <v xml:space="preserve">- Выбор и анализ товара для продаж
- Выстраивание персональной стратегии
- Обозначение первых шагов по своим целям
</v>
      </c>
    </row>
    <row r="713" spans="1:4" ht="25.5" x14ac:dyDescent="0.2">
      <c r="A713" s="1"/>
      <c r="B713" s="4"/>
      <c r="C713" s="4" t="str">
        <f ca="1">IFERROR(__xludf.DUMMYFUNCTION("""COMPUTED_VALUE"""),"Встреча 3. Мини-группа с трекером (дневная)")</f>
        <v>Встреча 3. Мини-группа с трекером (дневная)</v>
      </c>
      <c r="D713" s="1" t="str">
        <f ca="1">IFERROR(__xludf.DUMMYFUNCTION("""COMPUTED_VALUE"""),"-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целям")</f>
        <v>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</v>
      </c>
    </row>
    <row r="714" spans="1:4" ht="25.5" x14ac:dyDescent="0.2">
      <c r="A714" s="1"/>
      <c r="B714" s="4"/>
      <c r="C714" s="4" t="str">
        <f ca="1">IFERROR(__xludf.DUMMYFUNCTION("""COMPUTED_VALUE"""),"Встреча 3. Мини-группа с трекером (вечерняя)")</f>
        <v>Встреча 3. Мини-группа с трекером (вечерняя)</v>
      </c>
      <c r="D714" s="1" t="str">
        <f ca="1">IFERROR(__xludf.DUMMYFUNCTION("""COMPUTED_VALUE"""),"-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целям")</f>
        <v>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</v>
      </c>
    </row>
    <row r="715" spans="1:4" ht="25.5" x14ac:dyDescent="0.2">
      <c r="A715" s="1"/>
      <c r="B715" s="4"/>
      <c r="C715" s="4" t="str">
        <f ca="1">IFERROR(__xludf.DUMMYFUNCTION("""COMPUTED_VALUE"""),"Встреча 4. Мини-группа с трекером (дневная)")</f>
        <v>Встреча 4. Мини-группа с трекером (дневная)</v>
      </c>
      <c r="D715" s="1" t="str">
        <f ca="1">IFERROR(__xludf.DUMMYFUNCTION("""COMPUTED_VALUE"""),"-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целям")</f>
        <v>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</v>
      </c>
    </row>
    <row r="716" spans="1:4" ht="25.5" x14ac:dyDescent="0.2">
      <c r="A716" s="1"/>
      <c r="B716" s="4"/>
      <c r="C716" s="4" t="str">
        <f ca="1">IFERROR(__xludf.DUMMYFUNCTION("""COMPUTED_VALUE"""),"Встреча 4. Мини-группа с трекером (вечерняя)")</f>
        <v>Встреча 4. Мини-группа с трекером (вечерняя)</v>
      </c>
      <c r="D716" s="1" t="str">
        <f ca="1">IFERROR(__xludf.DUMMYFUNCTION("""COMPUTED_VALUE"""),"-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целям")</f>
        <v>- Доработка персональной стратегии
- Рекомендации от трекера
- Отчет участников о проделанных шагах между встречами
- Обозначение следующих шагов по своим целям</v>
      </c>
    </row>
    <row r="717" spans="1:4" ht="25.5" x14ac:dyDescent="0.2">
      <c r="A717" s="1"/>
      <c r="B717" s="4"/>
      <c r="C717" s="4" t="str">
        <f ca="1">IFERROR(__xludf.DUMMYFUNCTION("""COMPUTED_VALUE"""),"Встреча 5. Мини-группа с трекером (дневная)")</f>
        <v>Встреча 5. Мини-группа с трекером (дневная)</v>
      </c>
      <c r="D717" s="1" t="str">
        <f ca="1">IFERROR(__xludf.DUMMYFUNCTION("""COMPUTED_VALUE"""),"- Подведение итогов трек-встреч
- Обратная связь от трекеров и рекомендации на дальнейшее развитие
- Подготовка к выступлению на финальном дне")</f>
        <v>- Подведение итогов трек-встреч
- Обратная связь от трекеров и рекомендации на дальнейшее развитие
- Подготовка к выступлению на финальном дне</v>
      </c>
    </row>
    <row r="718" spans="1:4" ht="25.5" x14ac:dyDescent="0.2">
      <c r="A718" s="1"/>
      <c r="B718" s="4"/>
      <c r="C718" s="4" t="str">
        <f ca="1">IFERROR(__xludf.DUMMYFUNCTION("""COMPUTED_VALUE"""),"Встреча 5. Мини-группа с трекером (вечерняя)")</f>
        <v>Встреча 5. Мини-группа с трекером (вечерняя)</v>
      </c>
      <c r="D718" s="1" t="str">
        <f ca="1">IFERROR(__xludf.DUMMYFUNCTION("""COMPUTED_VALUE"""),"- Подведение итогов трек-встреч
- Обратная связь от трекеров и рекомендации на дальнейшее развитие
- Подготовка к выступлению на финальном дне")</f>
        <v>- Подведение итогов трек-встреч
- Обратная связь от трекеров и рекомендации на дальнейшее развитие
- Подготовка к выступлению на финальном дне</v>
      </c>
    </row>
    <row r="719" spans="1:4" ht="25.5" x14ac:dyDescent="0.2">
      <c r="A719" s="1"/>
      <c r="B719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19" s="4" t="str">
        <f ca="1">IFERROR(__xludf.DUMMYFUNCTION("""COMPUTED_VALUE"""),"Установочный вебинар")</f>
        <v>Установочный вебинар</v>
      </c>
      <c r="D719" s="1" t="str">
        <f ca="1">IFERROR(__xludf.DUMMYFUNCTION("""COMPUTED_VALUE"""),"- Знакомство
- Презентация программы, тем и спикеров
- Презентация механики проведения программы
- Презентация структуры вебинаров и трек-встреч")</f>
        <v>- Знакомство
- Презентация программы, тем и спикеров
- Презентация механики проведения программы
- Презентация структуры вебинаров и трек-встреч</v>
      </c>
    </row>
    <row r="720" spans="1:4" ht="25.5" x14ac:dyDescent="0.2">
      <c r="A720" s="1"/>
      <c r="B720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20" s="4" t="str">
        <f ca="1">IFERROR(__xludf.DUMMYFUNCTION("""COMPUTED_VALUE"""),"Бизнес-модель социального предпринимательства. Вебинар")</f>
        <v>Бизнес-модель социального предпринимательства. Вебинар</v>
      </c>
      <c r="D720" s="1" t="str">
        <f ca="1">IFERROR(__xludf.DUMMYFUNCTION("""COMPUTED_VALUE"""),"- Социальный эффект в бизнесе
- Цели устойчивого развития и формирование миссии
- Бизнес модель социального предпринимательства
- Инструменты анализа бизнес-модели
- Формула устойчивости проекта социального предпринимательства")</f>
        <v>- Социальный эффект в бизнесе
- Цели устойчивого развития и формирование миссии
- Бизнес модель социального предпринимательства
- Инструменты анализа бизнес-модели
- Формула устойчивости проекта социального предпринимательства</v>
      </c>
    </row>
    <row r="721" spans="1:4" ht="25.5" x14ac:dyDescent="0.2">
      <c r="A721" s="1"/>
      <c r="B721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21" s="4" t="str">
        <f ca="1">IFERROR(__xludf.DUMMYFUNCTION("""COMPUTED_VALUE"""),"Нетворкинг социальных предпринимателей")</f>
        <v>Нетворкинг социальных предпринимателей</v>
      </c>
      <c r="D721" s="1" t="str">
        <f ca="1">IFERROR(__xludf.DUMMYFUNCTION("""COMPUTED_VALUE"""),"- Знакомство участников
- Презентация своих проектов")</f>
        <v>- Знакомство участников
- Презентация своих проектов</v>
      </c>
    </row>
    <row r="722" spans="1:4" ht="25.5" x14ac:dyDescent="0.2">
      <c r="A722" s="1"/>
      <c r="B722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22" s="4" t="str">
        <f ca="1">IFERROR(__xludf.DUMMYFUNCTION("""COMPUTED_VALUE"""),"Диагностика вашего бизнеса. Работа с трекером ")</f>
        <v xml:space="preserve">Диагностика вашего бизнеса. Работа с трекером </v>
      </c>
      <c r="D722" s="1" t="str">
        <f ca="1">IFERROR(__xludf.DUMMYFUNCTION("""COMPUTED_VALUE"""),"- Проведение диагностики бизнеса и постановка целей на акселератор
- Анализ целевой аудитории, ценностного предложения и конкурентов 
- Анализ своего продукта")</f>
        <v>- Проведение диагностики бизнеса и постановка целей на акселератор
- Анализ целевой аудитории, ценностного предложения и конкурентов 
- Анализ своего продукта</v>
      </c>
    </row>
    <row r="723" spans="1:4" ht="25.5" x14ac:dyDescent="0.2">
      <c r="A723" s="1"/>
      <c r="B723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23" s="4" t="str">
        <f ca="1">IFERROR(__xludf.DUMMYFUNCTION("""COMPUTED_VALUE"""),"Гипотезы и CustDev интервью. Вебинар")</f>
        <v>Гипотезы и CustDev интервью. Вебинар</v>
      </c>
      <c r="D723" s="1" t="str">
        <f ca="1">IFERROR(__xludf.DUMMYFUNCTION("""COMPUTED_VALUE"""),"- Теория и навыки CustDev
- Инструменты формирования гипотез
- Инструменты проведения CustDev интервью  
- Инструменты анализа CustDev интервью ")</f>
        <v xml:space="preserve">- Теория и навыки CustDev
- Инструменты формирования гипотез
- Инструменты проведения CustDev интервью  
- Инструменты анализа CustDev интервью </v>
      </c>
    </row>
    <row r="724" spans="1:4" ht="25.5" x14ac:dyDescent="0.2">
      <c r="A724" s="1"/>
      <c r="B724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24" s="4" t="str">
        <f ca="1">IFERROR(__xludf.DUMMYFUNCTION("""COMPUTED_VALUE"""),"Гипотезы и CustDev интервью. Работа с трекером")</f>
        <v>Гипотезы и CustDev интервью. Работа с трекером</v>
      </c>
      <c r="D724" s="1" t="str">
        <f ca="1">IFERROR(__xludf.DUMMYFUNCTION("""COMPUTED_VALUE"""),"- Формирование гипотез и их проверка
- Проведение CustDev интервью 
- Анализ CustDev интервью")</f>
        <v>- Формирование гипотез и их проверка
- Проведение CustDev интервью 
- Анализ CustDev интервью</v>
      </c>
    </row>
    <row r="725" spans="1:4" ht="38.25" x14ac:dyDescent="0.2">
      <c r="A725" s="1"/>
      <c r="B725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25" s="4" t="str">
        <f ca="1">IFERROR(__xludf.DUMMYFUNCTION("""COMPUTED_VALUE"""),"Обратная связь на гипотезы и интервью участников. Работа с трекером")</f>
        <v>Обратная связь на гипотезы и интервью участников. Работа с трекером</v>
      </c>
      <c r="D725" s="1" t="str">
        <f ca="1">IFERROR(__xludf.DUMMYFUNCTION("""COMPUTED_VALUE"""),"- Обсуждение результатов CustDev интервью
- Анализ результатов CustDev интервью
- Анализ гипотез
- Рекомендации участникам ")</f>
        <v xml:space="preserve">- Обсуждение результатов CustDev интервью
- Анализ результатов CustDev интервью
- Анализ гипотез
- Рекомендации участникам </v>
      </c>
    </row>
    <row r="726" spans="1:4" ht="25.5" x14ac:dyDescent="0.2">
      <c r="A726" s="1"/>
      <c r="B726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26" s="4" t="str">
        <f ca="1">IFERROR(__xludf.DUMMYFUNCTION("""COMPUTED_VALUE"""),"Маркетинг и продажи. Вебинар")</f>
        <v>Маркетинг и продажи. Вебинар</v>
      </c>
      <c r="D726" s="1" t="str">
        <f ca="1">IFERROR(__xludf.DUMMYFUNCTION("""COMPUTED_VALUE"""),"- Виды маркетинговых стратегий и этапы 
- Конкурентный анализ
- Инструменты расширения каналов продаж
- Инструменты тестирования каналов продаж
- Работа с клиентами: привлечение новых, возврат старых")</f>
        <v>- Виды маркетинговых стратегий и этапы 
- Конкурентный анализ
- Инструменты расширения каналов продаж
- Инструменты тестирования каналов продаж
- Работа с клиентами: привлечение новых, возврат старых</v>
      </c>
    </row>
    <row r="727" spans="1:4" ht="25.5" x14ac:dyDescent="0.2">
      <c r="A727" s="1"/>
      <c r="B727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27" s="4" t="str">
        <f ca="1">IFERROR(__xludf.DUMMYFUNCTION("""COMPUTED_VALUE"""),"Маркетинг и продажи. Работа с трекером")</f>
        <v>Маркетинг и продажи. Работа с трекером</v>
      </c>
      <c r="D727" s="1" t="str">
        <f ca="1">IFERROR(__xludf.DUMMYFUNCTION("""COMPUTED_VALUE"""),"- Обсуждение анализа конкурентов
- Выбор каналов продаж для тестирования
- Разработка вопрсов для решенческого интервью
- Тестирование каналов продаж")</f>
        <v>- Обсуждение анализа конкурентов
- Выбор каналов продаж для тестирования
- Разработка вопрсов для решенческого интервью
- Тестирование каналов продаж</v>
      </c>
    </row>
    <row r="728" spans="1:4" ht="25.5" x14ac:dyDescent="0.2">
      <c r="A728" s="1"/>
      <c r="B728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28" s="4" t="str">
        <f ca="1">IFERROR(__xludf.DUMMYFUNCTION("""COMPUTED_VALUE"""),"Тестирование каналов продаж. Вебинар")</f>
        <v>Тестирование каналов продаж. Вебинар</v>
      </c>
      <c r="D728" s="1" t="str">
        <f ca="1">IFERROR(__xludf.DUMMYFUNCTION("""COMPUTED_VALUE"""),"- Тестирование и анализ каналов продаж
- Адаптация ценностного предложения под канал (маркетинговые креативы)
- Расчет воронки 
- Разработка стратегии увеличения прибыли своего бизнеса, посредством расширения каналов продаж 
- Анализ маркетингового продук"&amp;"та 
- Разработка маркетингового продукта на основе подтвержденных гипотез")</f>
        <v>- Тестирование и анализ каналов продаж
- Адаптация ценностного предложения под канал (маркетинговые креативы)
- Расчет воронки 
- Разработка стратегии увеличения прибыли своего бизнеса, посредством расширения каналов продаж 
- Анализ маркетингового продукта 
- Разработка маркетингового продукта на основе подтвержденных гипотез</v>
      </c>
    </row>
    <row r="729" spans="1:4" ht="25.5" x14ac:dyDescent="0.2">
      <c r="A729" s="1"/>
      <c r="B729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29" s="4" t="str">
        <f ca="1">IFERROR(__xludf.DUMMYFUNCTION("""COMPUTED_VALUE"""),"Тестирование каналов продаж. Работа с трекером")</f>
        <v>Тестирование каналов продаж. Работа с трекером</v>
      </c>
      <c r="D729" s="1" t="str">
        <f ca="1">IFERROR(__xludf.DUMMYFUNCTION("""COMPUTED_VALUE"""),"- Обратная связь на тестирование каналов продаж
- Анализ разработанной стратегии увеличения прибыли 
- Подготовка к презентации")</f>
        <v>- Обратная связь на тестирование каналов продаж
- Анализ разработанной стратегии увеличения прибыли 
- Подготовка к презентации</v>
      </c>
    </row>
    <row r="730" spans="1:4" ht="25.5" x14ac:dyDescent="0.2">
      <c r="A730" s="1"/>
      <c r="B730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30" s="4" t="str">
        <f ca="1">IFERROR(__xludf.DUMMYFUNCTION("""COMPUTED_VALUE"""),"Демо день")</f>
        <v>Демо день</v>
      </c>
      <c r="D730" s="1" t="str">
        <f ca="1">IFERROR(__xludf.DUMMYFUNCTION("""COMPUTED_VALUE"""),"- Презентация стратегии увеличения прибыли своего бизнеса, посредством расширения каналов продаж и маркетингового продукта на основе подтвержденных гипотез 
- Обратная связь от экспертов")</f>
        <v>- Презентация стратегии увеличения прибыли своего бизнеса, посредством расширения каналов продаж и маркетингового продукта на основе подтвержденных гипотез 
- Обратная связь от экспертов</v>
      </c>
    </row>
    <row r="731" spans="1:4" ht="25.5" x14ac:dyDescent="0.2">
      <c r="A731" s="1"/>
      <c r="B731" s="4" t="str">
        <f ca="1">IFERROR(__xludf.DUMMYFUNCTION("""COMPUTED_VALUE"""),"Акселерационная программа Бизнес-вышка")</f>
        <v>Акселерационная программа Бизнес-вышка</v>
      </c>
      <c r="C731" s="4" t="str">
        <f ca="1">IFERROR(__xludf.DUMMYFUNCTION("""COMPUTED_VALUE"""),"Встреча с трекерами")</f>
        <v>Встреча с трекерами</v>
      </c>
      <c r="D731" s="1" t="str">
        <f ca="1">IFERROR(__xludf.DUMMYFUNCTION("""COMPUTED_VALUE"""),"- Обратная связь на стратегии участников 
- Рекомендации по движению по стратегии")</f>
        <v>- Обратная связь на стратегии участников 
- Рекомендации по движению по стратегии</v>
      </c>
    </row>
    <row r="732" spans="1:4" ht="25.5" x14ac:dyDescent="0.2">
      <c r="A732" s="1"/>
      <c r="B732" s="4"/>
      <c r="C732" s="4" t="str">
        <f ca="1">IFERROR(__xludf.DUMMYFUNCTION("""COMPUTED_VALUE"""),"Как читать собеседника и управлять переговорами")</f>
        <v>Как читать собеседника и управлять переговорами</v>
      </c>
      <c r="D732" s="1" t="str">
        <f ca="1">IFERROR(__xludf.DUMMYFUNCTION("""COMPUTED_VALUE"""),"- Какой навык нужно развивать, чтобы успешно проводить переговоры?
- Как и зачем использовать эмоциональный интеллект в переговорах?
- Чек-лист подготовки к переговорам
- Как «прочитать» собеседника на переговорах и получить больше информации
- Что ос"&amp;"лабляет позиции в переговорах и как этого избежать?
- Какие приемы используют манипуляторы и как им противостоять?")</f>
        <v>- Какой навык нужно развивать, чтобы успешно проводить переговоры?
- Как и зачем использовать эмоциональный интеллект в переговорах?
- Чек-лист подготовки к переговорам
- Как «прочитать» собеседника на переговорах и получить больше информации
- Что ослабляет позиции в переговорах и как этого избежать?
- Какие приемы используют манипуляторы и как им противостоять?</v>
      </c>
    </row>
    <row r="733" spans="1:4" ht="38.25" x14ac:dyDescent="0.2">
      <c r="A733" s="1"/>
      <c r="B733" s="4"/>
      <c r="C733" s="4" t="str">
        <f ca="1">IFERROR(__xludf.DUMMYFUNCTION("""COMPUTED_VALUE"""),"Продуктовая матрица бизнеса, расширяем потоки поступления доходов")</f>
        <v>Продуктовая матрица бизнеса, расширяем потоки поступления доходов</v>
      </c>
      <c r="D733" s="1" t="str">
        <f ca="1">IFERROR(__xludf.DUMMYFUNCTION("""COMPUTED_VALUE"""),"- Виды продуктовых матриц
- Ключевые виды деятельности самозанятых в разных нишах
- Необходимые ресурсы для эффективного функционирования бизнеса ")</f>
        <v xml:space="preserve">- Виды продуктовых матриц
- Ключевые виды деятельности самозанятых в разных нишах
- Необходимые ресурсы для эффективного функционирования бизнеса </v>
      </c>
    </row>
    <row r="734" spans="1:4" ht="51" x14ac:dyDescent="0.2">
      <c r="A734" s="1"/>
      <c r="B734" s="4"/>
      <c r="C734" s="4" t="str">
        <f ca="1">IFERROR(__xludf.DUMMYFUNCTION("""COMPUTED_VALUE"""),"Расширение бизнеса через партнёрские связи или как успевать работать с 5 и более заказчиками")</f>
        <v>Расширение бизнеса через партнёрские связи или как успевать работать с 5 и более заказчиками</v>
      </c>
      <c r="D734" s="1" t="str">
        <f ca="1">IFERROR(__xludf.DUMMYFUNCTION("""COMPUTED_VALUE"""),"- Матрица стейкхолдеров
- Что подготовить для работы с партнёрами?
- Где и как искать партнеров?
- Где и как коммуницировать с партнёрами?
- Формула распределения времени")</f>
        <v>- Матрица стейкхолдеров
- Что подготовить для работы с партнёрами?
- Где и как искать партнеров?
- Где и как коммуницировать с партнёрами?
- Формула распределения времени</v>
      </c>
    </row>
    <row r="735" spans="1:4" ht="25.5" x14ac:dyDescent="0.2">
      <c r="A735" s="1"/>
      <c r="B735" s="4"/>
      <c r="C735" s="4" t="str">
        <f ca="1">IFERROR(__xludf.DUMMYFUNCTION("""COMPUTED_VALUE"""),"Как правильно рассчитать юнит-экономику и финмодель проекта")</f>
        <v>Как правильно рассчитать юнит-экономику и финмодель проекта</v>
      </c>
      <c r="D735" s="1" t="str">
        <f ca="1">IFERROR(__xludf.DUMMYFUNCTION("""COMPUTED_VALUE"""),"- Какие издержки и расходы необходимо закладывать в проект? 
- Поиск «узких мест» в юнит-экономинике проекта
- Составляющие финмодели проекта и ее внедрение 
- Работа с шаблонами документов и онлайн-сервисами 
- Заполнение юнит-экономики для разных те"&amp;"матик бизнесов")</f>
        <v>- Какие издержки и расходы необходимо закладывать в проект? 
- Поиск «узких мест» в юнит-экономинике проекта
- Составляющие финмодели проекта и ее внедрение 
- Работа с шаблонами документов и онлайн-сервисами 
- Заполнение юнит-экономики для разных тематик бизнесов</v>
      </c>
    </row>
    <row r="736" spans="1:4" ht="25.5" x14ac:dyDescent="0.2">
      <c r="A736" s="1"/>
      <c r="B736" s="4"/>
      <c r="C736" s="4" t="str">
        <f ca="1">IFERROR(__xludf.DUMMYFUNCTION("""COMPUTED_VALUE"""),"Упаковка смыслов компании и отстройка от рынка ")</f>
        <v xml:space="preserve">Упаковка смыслов компании и отстройка от рынка </v>
      </c>
      <c r="D736" s="1" t="str">
        <f ca="1">IFERROR(__xludf.DUMMYFUNCTION("""COMPUTED_VALUE"""),"- Как правильно отстроиться от конкурентов?
- Как найти новые каналы и инструменты продвижения?
- Упаковка офферов для разных аудиторий 
- Конкуренция на сложных рынках с помощью экспертности 
- Работа с таблицей «4 Почему» для работы с сильными сторо"&amp;"нами проекта")</f>
        <v>- Как правильно отстроиться от конкурентов?
- Как найти новые каналы и инструменты продвижения?
- Упаковка офферов для разных аудиторий 
- Конкуренция на сложных рынках с помощью экспертности 
- Работа с таблицей «4 Почему» для работы с сильными сторонами проекта</v>
      </c>
    </row>
    <row r="737" spans="1:4" ht="25.5" x14ac:dyDescent="0.2">
      <c r="A737" s="1"/>
      <c r="B737" s="4"/>
      <c r="C737" s="4" t="str">
        <f ca="1">IFERROR(__xludf.DUMMYFUNCTION("""COMPUTED_VALUE"""),"Возражений. NET - Продажи есть!
")</f>
        <v xml:space="preserve">Возражений. NET - Продажи есть!
</v>
      </c>
      <c r="D737" s="1" t="str">
        <f ca="1">IFERROR(__xludf.DUMMYFUNCTION("""COMPUTED_VALUE"""),"Блок 1. Как создать эффективный скрипт продаж?
- Скрипт – это сухо или действительно повышает конверсию?
- С чего начинать писать скрипт? И как его внедрить?
- 3 вида скрипта: трамвай, автобус, таксист
Блок 2. Как продавать дорого?
- Как страх влияет на "&amp;"ценообразование?
- Как заговорить на языке выгод: техника FAB
- Эмоциональные продажи: 5 типов клиентов с разными кнопками
- Техники продаж «4 почему», ЦИРК и ТАНКИ
- 9 типов вопросов для клиентов
Блок 3. 12 правил продаж в переписках
- Как отвечать на з"&amp;"лободневный вопрос «Сколько стоит?»
- Авторская технология ведения переписки без допроса
- Клиент-потеряшка: что с ним делать?
- Как сделать аудит своих переписок?
Блок 4. Работа с возражениями
- 3 вида возражений
- Готовые шаблоны для ответов на популяр"&amp;"ные возражения («Дорого», «Подумаю», «У других дешевле» и др.)
- Алгоритм реагирования на просьбу о скидке: 5 шагов")</f>
        <v>Блок 1. Как создать эффективный скрипт продаж?
- Скрипт – это сухо или действительно повышает конверсию?
- С чего начинать писать скрипт? И как его внедрить?
- 3 вида скрипта: трамвай, автобус, таксист
Блок 2. Как продавать дорого?
- Как страх влияет на ценообразование?
- Как заговорить на языке выгод: техника FAB
- Эмоциональные продажи: 5 типов клиентов с разными кнопками
- Техники продаж «4 почему», ЦИРК и ТАНКИ
- 9 типов вопросов для клиентов
Блок 3. 12 правил продаж в переписках
- Как отвечать на злободневный вопрос «Сколько стоит?»
- Авторская технология ведения переписки без допроса
- Клиент-потеряшка: что с ним делать?
- Как сделать аудит своих переписок?
Блок 4. Работа с возражениями
- 3 вида возражений
- Готовые шаблоны для ответов на популярные возражения («Дорого», «Подумаю», «У других дешевле» и др.)
- Алгоритм реагирования на просьбу о скидке: 5 шагов</v>
      </c>
    </row>
    <row r="738" spans="1:4" ht="38.25" x14ac:dyDescent="0.2">
      <c r="A738" s="1"/>
      <c r="B738" s="4"/>
      <c r="C738" s="4" t="str">
        <f ca="1">IFERROR(__xludf.DUMMYFUNCTION("""COMPUTED_VALUE"""),"Мастер-класс по мобильной фотографии, обработке и видеографии")</f>
        <v>Мастер-класс по мобильной фотографии, обработке и видеографии</v>
      </c>
      <c r="D738" s="1" t="str">
        <f ca="1">IFERROR(__xludf.DUMMYFUNCTION("""COMPUTED_VALUE"""),"Теория:
- Правила мобильной фотографии и вдохновляющие примеры
- Как делать портретные и предметные фото?
- Обработка фотографий на смартфоне, цветокоррекция, наложение lut’ов, использование пресетов lightroom
- Видеосъемка: сценарий, раскадровка, техника"&amp;", аксессуары, обработка видео и монтаж на смартфоне, озвучка, субтитры
Практика: 
- Портретная и предметная фотография
- Обработка отснятых портретов и предметных фото
- Создание moodboard для instagram
- Наложение пресетов в lightroom
- Монтаж видео на"&amp;" смартфоне")</f>
        <v>Теория:
- Правила мобильной фотографии и вдохновляющие примеры
- Как делать портретные и предметные фото?
- Обработка фотографий на смартфоне, цветокоррекция, наложение lut’ов, использование пресетов lightroom
- Видеосъемка: сценарий, раскадровка, техника, аксессуары, обработка видео и монтаж на смартфоне, озвучка, субтитры
Практика: 
- Портретная и предметная фотография
- Обработка отснятых портретов и предметных фото
- Создание moodboard для instagram
- Наложение пресетов в lightroom
- Монтаж видео на смартфоне</v>
      </c>
    </row>
    <row r="739" spans="1:4" ht="12.75" x14ac:dyDescent="0.2">
      <c r="A739" s="1"/>
      <c r="B739" s="4"/>
      <c r="C739" s="4" t="str">
        <f ca="1">IFERROR(__xludf.DUMMYFUNCTION("""COMPUTED_VALUE"""),"Личный бренд предпринимателя")</f>
        <v>Личный бренд предпринимателя</v>
      </c>
      <c r="D739" s="1" t="str">
        <f ca="1">IFERROR(__xludf.DUMMYFUNCTION("""COMPUTED_VALUE"""),"- Личный бренд. Концепция «Путь»
- 3 первых шага запуска личного бренда 
- Искусство очаровывать незнакомцев. Число Данбара и 5 запретных тем для разговора
- Тебе мешает только страх. 13 инструментов, чтобы подружиться со страхом 
- Распаковка личного бре"&amp;"нда. 
- 55 вопросов для распаковки
- Вспомогательные инструменты для продвижения вашего личного бренда")</f>
        <v>- Личный бренд. Концепция «Путь»
- 3 первых шага запуска личного бренда 
- Искусство очаровывать незнакомцев. Число Данбара и 5 запретных тем для разговора
- Тебе мешает только страх. 13 инструментов, чтобы подружиться со страхом 
- Распаковка личного бренда. 
- 55 вопросов для распаковки
- Вспомогательные инструменты для продвижения вашего личного бренда</v>
      </c>
    </row>
    <row r="740" spans="1:4" ht="12.75" x14ac:dyDescent="0.2">
      <c r="A740" s="1"/>
      <c r="B740" s="4"/>
      <c r="C740" s="4" t="str">
        <f ca="1">IFERROR(__xludf.DUMMYFUNCTION("""COMPUTED_VALUE"""),"Прямые продажи и переговоры")</f>
        <v>Прямые продажи и переговоры</v>
      </c>
      <c r="D740" s="1" t="str">
        <f ca="1">IFERROR(__xludf.DUMMYFUNCTION("""COMPUTED_VALUE"""),"- Другая сторона продаж. Как влиять на клиента и успешно вести переговоры
- Как производить нужное первое впечатление?
- Страх продаж - как его побороть?
- Как превратить возражения в плюсы?
- Главные правила влияния на клиента для успешных продаж и п"&amp;"ереговоров")</f>
        <v>- Другая сторона продаж. Как влиять на клиента и успешно вести переговоры
- Как производить нужное первое впечатление?
- Страх продаж - как его побороть?
- Как превратить возражения в плюсы?
- Главные правила влияния на клиента для успешных продаж и переговоров</v>
      </c>
    </row>
    <row r="741" spans="1:4" ht="12.75" x14ac:dyDescent="0.2">
      <c r="A741" s="1"/>
      <c r="B741" s="4"/>
      <c r="C741" s="4" t="str">
        <f ca="1">IFERROR(__xludf.DUMMYFUNCTION("""COMPUTED_VALUE"""),"Личный бренд самозанятого  ")</f>
        <v xml:space="preserve">Личный бренд самозанятого  </v>
      </c>
      <c r="D741" s="1" t="str">
        <f ca="1">IFERROR(__xludf.DUMMYFUNCTION("""COMPUTED_VALUE"""),"- Распаковка личного бренда. Технология IYW
- Искусство очаровывать незнакомцев. Число Данбара и 5 запретных тем для разговора
- 3 языка самопрезентации: символ, слово и тело
- Тебе мешает только страх. 10 инструментов, чтобы подружиться со страхом
- Алхи"&amp;"мия публичный выступлений. Определи свой тип спикера
- Вспомогательные инструменты, таблички, СМИ для усиления личного бренда")</f>
        <v>- Распаковка личного бренда. Технология IYW
- Искусство очаровывать незнакомцев. Число Данбара и 5 запретных тем для разговора
- 3 языка самопрезентации: символ, слово и тело
- Тебе мешает только страх. 10 инструментов, чтобы подружиться со страхом
- Алхимия публичный выступлений. Определи свой тип спикера
- Вспомогательные инструменты, таблички, СМИ для усиления личного бренда</v>
      </c>
    </row>
    <row r="742" spans="1:4" ht="38.25" x14ac:dyDescent="0.2">
      <c r="A742" s="1"/>
      <c r="B742" s="4"/>
      <c r="C742" s="4" t="str">
        <f ca="1">IFERROR(__xludf.DUMMYFUNCTION("""COMPUTED_VALUE"""),"Работа с контентом в социальных сетях: продажи через сторителлинг")</f>
        <v>Работа с контентом в социальных сетях: продажи через сторителлинг</v>
      </c>
      <c r="D742" s="1" t="str">
        <f ca="1">IFERROR(__xludf.DUMMYFUNCTION("""COMPUTED_VALUE"""),"- Постановка цели по SMART
- Определение Целевой аудитории
- Знакомимся с понятием и учимся составлять  «Контент-план»
- Работа с  контентом. Текст
- Работа с контентом. Фото и Видео контент
- Сторителлинг
- Аккаунт для развития Личного Бренда. Характерис"&amp;"тики и упаковка
- Методы Продвижения 
- Исчерпывающая информация как избежать ошибок, что такое серые/чёрные методы продвижения
- Набор универсальных методов продвижения. 
- Разбор плана «Взаимный PR»
- Список «партизанских приемов маркетинга»
- Инструкци"&amp;"я для развития публичности в пандемийное время")</f>
        <v>- Постановка цели по SMART
- Определение Целевой аудитории
- Знакомимся с понятием и учимся составлять  «Контент-план»
- Работа с  контентом. Текст
- Работа с контентом. Фото и Видео контент
- Сторителлинг
- Аккаунт для развития Личного Бренда. Характеристики и упаковка
- Методы Продвижения 
- Исчерпывающая информация как избежать ошибок, что такое серые/чёрные методы продвижения
- Набор универсальных методов продвижения. 
- Разбор плана «Взаимный PR»
- Список «партизанских приемов маркетинга»
- Инструкция для развития публичности в пандемийное время</v>
      </c>
    </row>
    <row r="743" spans="1:4" ht="38.25" x14ac:dyDescent="0.2">
      <c r="A743" s="1"/>
      <c r="B743" s="4"/>
      <c r="C743" s="4" t="str">
        <f ca="1">IFERROR(__xludf.DUMMYFUNCTION("""COMPUTED_VALUE"""),"Продвижение компании с помощью Instagram: оформление профиля и продажи через Stories")</f>
        <v>Продвижение компании с помощью Instagram: оформление профиля и продажи через Stories</v>
      </c>
      <c r="D743" s="1" t="str">
        <f ca="1">IFERROR(__xludf.DUMMYFUNCTION("""COMPUTED_VALUE"""),"- Стратегия продвижения в Instagram
- Позиционирование и шапка профиля, навигация, ссылки
- 5 видов контента, ранжирование постов
- Работа со сторис — как всегда показываться, главные инструменты для создания Stories, как у самых известных блогеров
- Рабо"&amp;"та с эфирами, блогерами, коллаборациями
- Работа с постами — главные правила и инструменты
- Продвижение аккаунта — платные и бесплатные методы")</f>
        <v>- Стратегия продвижения в Instagram
- Позиционирование и шапка профиля, навигация, ссылки
- 5 видов контента, ранжирование постов
- Работа со сторис — как всегда показываться, главные инструменты для создания Stories, как у самых известных блогеров
- Работа с эфирами, блогерами, коллаборациями
- Работа с постами — главные правила и инструменты
- Продвижение аккаунта — платные и бесплатные методы</v>
      </c>
    </row>
    <row r="744" spans="1:4" ht="25.5" x14ac:dyDescent="0.2">
      <c r="A744" s="1"/>
      <c r="B744" s="4" t="str">
        <f ca="1">IFERROR(__xludf.DUMMYFUNCTION("""COMPUTED_VALUE"""),"Форум")</f>
        <v>Форум</v>
      </c>
      <c r="C744" s="4" t="str">
        <f ca="1">IFERROR(__xludf.DUMMYFUNCTION("""COMPUTED_VALUE"""),"Бизнес на маркетплейсах. Товары и услуги")</f>
        <v>Бизнес на маркетплейсах. Товары и услуги</v>
      </c>
      <c r="D744" s="1" t="str">
        <f ca="1">IFERROR(__xludf.DUMMYFUNCTION("""COMPUTED_VALUE"""),"-Мультиканальная онлайн витрина- возможности продаж для предпринимателя из любого региона
-Топовые российские и иностранные маркетплейсы
- Стратегия успешного запуска 
-Услуги на маркетплейсах. Увеличиваем продажи и создаем экосистему")</f>
        <v>-Мультиканальная онлайн витрина- возможности продаж для предпринимателя из любого региона
-Топовые российские и иностранные маркетплейсы
- Стратегия успешного запуска 
-Услуги на маркетплейсах. Увеличиваем продажи и создаем экосистему</v>
      </c>
    </row>
    <row r="745" spans="1:4" ht="25.5" x14ac:dyDescent="0.2">
      <c r="A745" s="1"/>
      <c r="B745" s="4" t="str">
        <f ca="1">IFERROR(__xludf.DUMMYFUNCTION("""COMPUTED_VALUE"""),"Форум")</f>
        <v>Форум</v>
      </c>
      <c r="C745" s="4" t="str">
        <f ca="1">IFERROR(__xludf.DUMMYFUNCTION("""COMPUTED_VALUE"""),"Маркетплейсы. Турбозапуск товаров")</f>
        <v>Маркетплейсы. Турбозапуск товаров</v>
      </c>
      <c r="D745" s="1" t="str">
        <f ca="1">IFERROR(__xludf.DUMMYFUNCTION("""COMPUTED_VALUE"""),"- Обзор международных и российских маркетплейсов от Wildberries до Ebay 
-Как работает модель маркетплейс: регистрация, логистика, маркетинг, взаиморасчеты
- Правила успешных продаж: контент, аналитика, отзывы
- Выбираем товар для успешного запуска")</f>
        <v>- Обзор международных и российских маркетплейсов от Wildberries до Ebay 
-Как работает модель маркетплейс: регистрация, логистика, маркетинг, взаиморасчеты
- Правила успешных продаж: контент, аналитика, отзывы
- Выбираем товар для успешного запуска</v>
      </c>
    </row>
    <row r="746" spans="1:4" ht="25.5" x14ac:dyDescent="0.2">
      <c r="A746" s="1"/>
      <c r="B746" s="4" t="str">
        <f ca="1">IFERROR(__xludf.DUMMYFUNCTION("""COMPUTED_VALUE"""),"Форум")</f>
        <v>Форум</v>
      </c>
      <c r="C746" s="4" t="str">
        <f ca="1">IFERROR(__xludf.DUMMYFUNCTION("""COMPUTED_VALUE"""),"Сайт как часть автоматизации бизнеса")</f>
        <v>Сайт как часть автоматизации бизнеса</v>
      </c>
      <c r="D746" s="1" t="str">
        <f ca="1">IFERROR(__xludf.DUMMYFUNCTION("""COMPUTED_VALUE"""),"- Постпандемийные тренды рынка интернет-торговли
- Каким должен быть сайт современного интернет-магазина
- Инфраструктура сервисов. Автоматизация бизнес-процессов через интеграции
- ИМ, как единое окно агрегации заказов из социальных сетей и маркетплейсов"&amp;"
- ИМ, как единое окно коммуникации с клиентами через агрегацию мессенджеров
- Какой трафик реально продает в маленьких и средних магазинах разных тематик")</f>
        <v>- Постпандемийные тренды рынка интернет-торговли
- Каким должен быть сайт современного интернет-магазина
- Инфраструктура сервисов. Автоматизация бизнес-процессов через интеграции
- ИМ, как единое окно агрегации заказов из социальных сетей и маркетплейсов
- ИМ, как единое окно коммуникации с клиентами через агрегацию мессенджеров
- Какой трафик реально продает в маленьких и средних магазинах разных тематик</v>
      </c>
    </row>
    <row r="747" spans="1:4" ht="12.75" x14ac:dyDescent="0.2">
      <c r="A747" s="1"/>
      <c r="B747" s="4"/>
      <c r="C747" s="4" t="str">
        <f ca="1">IFERROR(__xludf.DUMMYFUNCTION("""COMPUTED_VALUE"""),"Как стать самозанятым?")</f>
        <v>Как стать самозанятым?</v>
      </c>
      <c r="D747" s="1" t="str">
        <f ca="1">IFERROR(__xludf.DUMMYFUNCTION("""COMPUTED_VALUE"""),"- Как зарегистрироваться в качестве самозанятого?
- Как платить налог?
- Какие документы и куда должен предоставлять самозанятый?
- За какие платежи, которые приходят на карту, нужно отчитываться?")</f>
        <v>- Как зарегистрироваться в качестве самозанятого?
- Как платить налог?
- Какие документы и куда должен предоставлять самозанятый?
- За какие платежи, которые приходят на карту, нужно отчитываться?</v>
      </c>
    </row>
    <row r="748" spans="1:4" ht="25.5" x14ac:dyDescent="0.2">
      <c r="A748" s="1"/>
      <c r="B748" s="4"/>
      <c r="C748" s="4" t="str">
        <f ca="1">IFERROR(__xludf.DUMMYFUNCTION("""COMPUTED_VALUE"""),"Самозанятый: лайфхаки эффективной работы")</f>
        <v>Самозанятый: лайфхаки эффективной работы</v>
      </c>
      <c r="D748" s="1" t="str">
        <f ca="1">IFERROR(__xludf.DUMMYFUNCTION("""COMPUTED_VALUE"""),"- Составление бизнес-плана для самозанятого за 5 минут
- Как максимально взять пользу самозанятому от партнёрства с  государством и крупными компаниями
- 5 видов гос. поддержки самозанятых
- Как работать с подрядчиками (ИП, ГПХ, самозанятый) плюсы и мину"&amp;"сы
- Используемые виды договоров для самозанятых при работе с партнёрами и подрядчиками
- Где искать лидеров мнений, каналы и методы поиска
- 15 личных техник эффективной работы предпринимателя")</f>
        <v>- Составление бизнес-плана для самозанятого за 5 минут
- Как максимально взять пользу самозанятому от партнёрства с  государством и крупными компаниями
- 5 видов гос. поддержки самозанятых
- Как работать с подрядчиками (ИП, ГПХ, самозанятый) плюсы и минусы
- Используемые виды договоров для самозанятых при работе с партнёрами и подрядчиками
- Где искать лидеров мнений, каналы и методы поиска
- 15 личных техник эффективной работы предпринимателя</v>
      </c>
    </row>
    <row r="749" spans="1:4" ht="25.5" x14ac:dyDescent="0.2">
      <c r="A749" s="1"/>
      <c r="B749" s="4" t="str">
        <f ca="1">IFERROR(__xludf.DUMMYFUNCTION("""COMPUTED_VALUE"""),"Модуль Забайкалье")</f>
        <v>Модуль Забайкалье</v>
      </c>
      <c r="C749" s="4" t="str">
        <f ca="1">IFERROR(__xludf.DUMMYFUNCTION("""COMPUTED_VALUE"""),"Эффективное продвижение бизнеса на конкурентном рынке")</f>
        <v>Эффективное продвижение бизнеса на конкурентном рынке</v>
      </c>
      <c r="D749" s="1" t="str">
        <f ca="1">IFERROR(__xludf.DUMMYFUNCTION("""COMPUTED_VALUE"""),"- Как найти новые каналы и инструменты продвижения для социального бизнеса
- Как правильно отстроиться от конкурентов
- Какие издержки и расходы необходимо закладывать в проект
- Поиск «узких мест» в юнит-экономинике проекта")</f>
        <v>- Как найти новые каналы и инструменты продвижения для социального бизнеса
- Как правильно отстроиться от конкурентов
- Какие издержки и расходы необходимо закладывать в проект
- Поиск «узких мест» в юнит-экономинике проекта</v>
      </c>
    </row>
    <row r="750" spans="1:4" ht="38.25" x14ac:dyDescent="0.2">
      <c r="A750" s="1"/>
      <c r="B750" s="4" t="str">
        <f ca="1">IFERROR(__xludf.DUMMYFUNCTION("""COMPUTED_VALUE"""),"Антикризисная программа")</f>
        <v>Антикризисная программа</v>
      </c>
      <c r="C750" s="4" t="str">
        <f ca="1">IFERROR(__xludf.DUMMYFUNCTION("""COMPUTED_VALUE"""),"Как не сгореть в кризис, когда вся ответственность на тебе? Опыт предпринимателей")</f>
        <v>Как не сгореть в кризис, когда вся ответственность на тебе? Опыт предпринимателей</v>
      </c>
      <c r="D750" s="1" t="str">
        <f ca="1">IFERROR(__xludf.DUMMYFUNCTION("""COMPUTED_VALUE"""),"- Что важно знать предпринимателю при наступлении кризиса? Опыт предпринимателей, вышедших из кризиса в плюс
- Как не только сохранить бизнес, но и масштабировать?
- Оптимизация себестоимости продукта
- Искать новых клиентов или удерживать старых?
- Интег"&amp;"рация новых продуктов/услуг для увеличения среднего чека")</f>
        <v>- Что важно знать предпринимателю при наступлении кризиса? Опыт предпринимателей, вышедших из кризиса в плюс
- Как не только сохранить бизнес, но и масштабировать?
- Оптимизация себестоимости продукта
- Искать новых клиентов или удерживать старых?
- Интеграция новых продуктов/услуг для увеличения среднего чека</v>
      </c>
    </row>
    <row r="751" spans="1:4" ht="38.25" x14ac:dyDescent="0.2">
      <c r="A751" s="1"/>
      <c r="B751" s="4" t="str">
        <f ca="1">IFERROR(__xludf.DUMMYFUNCTION("""COMPUTED_VALUE"""),"Антикризисная программа")</f>
        <v>Антикризисная программа</v>
      </c>
      <c r="C751" s="4" t="str">
        <f ca="1">IFERROR(__xludf.DUMMYFUNCTION("""COMPUTED_VALUE"""),"Определение нового канала продаж для существующего продукта")</f>
        <v>Определение нового канала продаж для существующего продукта</v>
      </c>
      <c r="D751" s="1" t="str">
        <f ca="1">IFERROR(__xludf.DUMMYFUNCTION("""COMPUTED_VALUE"""),"- Каналы продаж: какие существуют, на каких вы сейчас представлены?
- Как понять, на какой новый канал продаж выйти с существующим продуктом/услугой?
- Какую бизнес-стратегию выбрать при наступлении кризиса?
- Как правильно оценить текущее и дальнейшее по"&amp;"ложение фирмы? 
- Как улучшить привлекательность товара благодаря его разнообразию?")</f>
        <v>- Каналы продаж: какие существуют, на каких вы сейчас представлены?
- Как понять, на какой новый канал продаж выйти с существующим продуктом/услугой?
- Какую бизнес-стратегию выбрать при наступлении кризиса?
- Как правильно оценить текущее и дальнейшее положение фирмы? 
- Как улучшить привлекательность товара благодаря его разнообразию?</v>
      </c>
    </row>
    <row r="752" spans="1:4" ht="25.5" x14ac:dyDescent="0.2">
      <c r="A752" s="1"/>
      <c r="B752" s="4" t="str">
        <f ca="1">IFERROR(__xludf.DUMMYFUNCTION("""COMPUTED_VALUE"""),"Антикризисная программа")</f>
        <v>Антикризисная программа</v>
      </c>
      <c r="C752" s="4" t="str">
        <f ca="1">IFERROR(__xludf.DUMMYFUNCTION("""COMPUTED_VALUE"""),"Новые каналы продаж: маркетплейсы")</f>
        <v>Новые каналы продаж: маркетплейсы</v>
      </c>
      <c r="D752" s="1" t="str">
        <f ca="1">IFERROR(__xludf.DUMMYFUNCTION("""COMPUTED_VALUE"""),"- Маркетплейсы от Wildberries до Ebay - как быстро стартовать на топовых платформах
- Выбор маркетплейса: учитываем товар, бюджет и перспективы
- Правила успешных продаж на маркетплейсах
- Услуги на Ozon и Wildberreis. Увеличиваем продажи и создаем эко"&amp;"систему")</f>
        <v>- Маркетплейсы от Wildberries до Ebay - как быстро стартовать на топовых платформах
- Выбор маркетплейса: учитываем товар, бюджет и перспективы
- Правила успешных продаж на маркетплейсах
- Услуги на Ozon и Wildberreis. Увеличиваем продажи и создаем экосистему</v>
      </c>
    </row>
    <row r="753" spans="1:4" ht="25.5" x14ac:dyDescent="0.2">
      <c r="A753" s="1"/>
      <c r="B753" s="4" t="str">
        <f ca="1">IFERROR(__xludf.DUMMYFUNCTION("""COMPUTED_VALUE"""),"Антикризисная программа")</f>
        <v>Антикризисная программа</v>
      </c>
      <c r="C753" s="4" t="str">
        <f ca="1">IFERROR(__xludf.DUMMYFUNCTION("""COMPUTED_VALUE"""),"Новые каналы продаж: социальные сети")</f>
        <v>Новые каналы продаж: социальные сети</v>
      </c>
      <c r="D753" s="1" t="str">
        <f ca="1">IFERROR(__xludf.DUMMYFUNCTION("""COMPUTED_VALUE"""),"- Продажи товаров/услуг через Instagram - как оформить страничку?
- Определение целевой аудитории для экономии бюджета на рекламу
- Инструменты для продажи товаров/услуг в Instagram
- Методы продвижения в коронакризисные времена")</f>
        <v>- Продажи товаров/услуг через Instagram - как оформить страничку?
- Определение целевой аудитории для экономии бюджета на рекламу
- Инструменты для продажи товаров/услуг в Instagram
- Методы продвижения в коронакризисные времена</v>
      </c>
    </row>
    <row r="754" spans="1:4" ht="25.5" x14ac:dyDescent="0.2">
      <c r="A754" s="1"/>
      <c r="B754" s="4" t="str">
        <f ca="1">IFERROR(__xludf.DUMMYFUNCTION("""COMPUTED_VALUE"""),"Антикризисная программа")</f>
        <v>Антикризисная программа</v>
      </c>
      <c r="C754" s="4" t="str">
        <f ca="1">IFERROR(__xludf.DUMMYFUNCTION("""COMPUTED_VALUE"""),"Новые каналы продаж: интернет-магазин")</f>
        <v>Новые каналы продаж: интернет-магазин</v>
      </c>
      <c r="D754" s="1" t="str">
        <f ca="1">IFERROR(__xludf.DUMMYFUNCTION("""COMPUTED_VALUE"""),"- Как продавать товар в интернет-магазине, с чего начать?
- Аналитика рынка интернет-торговли
- Основные ошибки при создании интернет-магазина
- Основные варианты продвижения интернет-магазина
- Практика: создаем интернет-магазин за 20 минут")</f>
        <v>- Как продавать товар в интернет-магазине, с чего начать?
- Аналитика рынка интернет-торговли
- Основные ошибки при создании интернет-магазина
- Основные варианты продвижения интернет-магазина
- Практика: создаем интернет-магазин за 20 минут</v>
      </c>
    </row>
    <row r="755" spans="1:4" ht="25.5" x14ac:dyDescent="0.2">
      <c r="A755" s="1"/>
      <c r="B755" s="4" t="str">
        <f ca="1">IFERROR(__xludf.DUMMYFUNCTION("""COMPUTED_VALUE"""),"Антикризисная программа")</f>
        <v>Антикризисная программа</v>
      </c>
      <c r="C755" s="4" t="str">
        <f ca="1">IFERROR(__xludf.DUMMYFUNCTION("""COMPUTED_VALUE"""),"Контекстная и таргетированная реклама   ")</f>
        <v xml:space="preserve">Контекстная и таргетированная реклама   </v>
      </c>
      <c r="D755" s="1" t="str">
        <f ca="1">IFERROR(__xludf.DUMMYFUNCTION("""COMPUTED_VALUE"""),"- Что такое онлайн-реклама? 
- В чем разница между контекстной и таргетированной рекламой? Что выбрать?
- Как настраивать и какой бюджет необходимо выделять на онлайн-рекламу?
- Принципы работы с Yandex Direct, РСЯ, Metrika
- Принципы работы с Google "&amp;"Adwords, КМС")</f>
        <v>- Что такое онлайн-реклама? 
- В чем разница между контекстной и таргетированной рекламой? Что выбрать?
- Как настраивать и какой бюджет необходимо выделять на онлайн-рекламу?
- Принципы работы с Yandex Direct, РСЯ, Metrika
- Принципы работы с Google Adwords, КМС</v>
      </c>
    </row>
    <row r="756" spans="1:4" ht="25.5" x14ac:dyDescent="0.2">
      <c r="A756" s="1"/>
      <c r="B756" s="4" t="str">
        <f ca="1">IFERROR(__xludf.DUMMYFUNCTION("""COMPUTED_VALUE"""),"Антикризисная программа")</f>
        <v>Антикризисная программа</v>
      </c>
      <c r="C756" s="4" t="str">
        <f ca="1">IFERROR(__xludf.DUMMYFUNCTION("""COMPUTED_VALUE"""),"Рост бизнеса: что делать когда конкуренты в прострации")</f>
        <v>Рост бизнеса: что делать когда конкуренты в прострации</v>
      </c>
      <c r="D756" s="1" t="str">
        <f ca="1">IFERROR(__xludf.DUMMYFUNCTION("""COMPUTED_VALUE"""),"- Маркетинг и привлечение клиентов с более низкими рекламными бюджетами 
- Финансы и пересогласование финансовых условий с партнерами и поставщиками
- Персонал: дообучение и хантинг сотрудников конкурентов
- Разработка новых продуктов с учётом изменившего"&amp;"ся рынка
- Новые способы продаж и забытые схемы работы 
- Психология отношений в кризис с целью выстраивания долгосрочных отношений")</f>
        <v>- Маркетинг и привлечение клиентов с более низкими рекламными бюджетами 
- Финансы и пересогласование финансовых условий с партнерами и поставщиками
- Персонал: дообучение и хантинг сотрудников конкурентов
- Разработка новых продуктов с учётом изменившегося рынка
- Новые способы продаж и забытые схемы работы 
- Психология отношений в кризис с целью выстраивания долгосрочных отношений</v>
      </c>
    </row>
    <row r="757" spans="1:4" ht="38.25" x14ac:dyDescent="0.2">
      <c r="A757" s="1"/>
      <c r="B757" s="4" t="str">
        <f ca="1">IFERROR(__xludf.DUMMYFUNCTION("""COMPUTED_VALUE"""),"Антикризисная программа")</f>
        <v>Антикризисная программа</v>
      </c>
      <c r="C757" s="4" t="str">
        <f ca="1">IFERROR(__xludf.DUMMYFUNCTION("""COMPUTED_VALUE"""),"Управление командой на удаленке: инструменты управления")</f>
        <v>Управление командой на удаленке: инструменты управления</v>
      </c>
      <c r="D757" s="1" t="str">
        <f ca="1">IFERROR(__xludf.DUMMYFUNCTION("""COMPUTED_VALUE"""),"- Настройка удаленного рабочего стола, общего сервера
- Сервисы для совещаний видеоконференций
- Платформы для работы с документами и электронными таблицами
- Как отслеживать на удаленке производительность сотрудников?
- Онлайн-совещания – как проводить э"&amp;"ффективно? И как часто?
- Тайм-менеджмент – планирование рабочего дня сотрудников")</f>
        <v>- Настройка удаленного рабочего стола, общего сервера
- Сервисы для совещаний видеоконференций
- Платформы для работы с документами и электронными таблицами
- Как отслеживать на удаленке производительность сотрудников?
- Онлайн-совещания – как проводить эффективно? И как часто?
- Тайм-менеджмент – планирование рабочего дня сотрудников</v>
      </c>
    </row>
    <row r="758" spans="1:4" ht="25.5" x14ac:dyDescent="0.2">
      <c r="A758" s="1"/>
      <c r="B758" s="4" t="str">
        <f ca="1">IFERROR(__xludf.DUMMYFUNCTION("""COMPUTED_VALUE"""),"Антикризисная программа")</f>
        <v>Антикризисная программа</v>
      </c>
      <c r="C758" s="4" t="str">
        <f ca="1">IFERROR(__xludf.DUMMYFUNCTION("""COMPUTED_VALUE"""),"Как лидеру компании удержать команду во время кризиса")</f>
        <v>Как лидеру компании удержать команду во время кризиса</v>
      </c>
      <c r="D758" s="1" t="str">
        <f ca="1">IFERROR(__xludf.DUMMYFUNCTION("""COMPUTED_VALUE"""),"- Лидерство как жизненная позиция. Способы ее формирования
- Эмоциональный интеллект — 80% успеха. Инструменты для развития
- Использование системы КАДЗЕН (улучшение малыми шагами), как возможность увеличения производительности труда в 2 раза. Примеры н"&amp;"а мировом и российском опыте: Тойота, МТС, Сибур
- Генетический уникальный код каждого сотрудника. Повышение эффективности самым экологичным способом
- Секреты успешных людей от Брайтона Трейси. Как это работает?
- Формула делегирования. Что не подлежи"&amp;"т делегированию?
- Развиваешься сам, развиваешь тех кто рядом. Как развивать себя?
- Обратная связь: способы и виды развивающей обратной связи")</f>
        <v>- Лидерство как жизненная позиция. Способы ее формирования
- Эмоциональный интеллект — 80% успеха. Инструменты для развития
- Использование системы КАДЗЕН (улучшение малыми шагами), как возможность увеличения производительности труда в 2 раза. Примеры на мировом и российском опыте: Тойота, МТС, Сибур
- Генетический уникальный код каждого сотрудника. Повышение эффективности самым экологичным способом
- Секреты успешных людей от Брайтона Трейси. Как это работает?
- Формула делегирования. Что не подлежит делегированию?
- Развиваешься сам, развиваешь тех кто рядом. Как развивать себя?
- Обратная связь: способы и виды развивающей обратной связи</v>
      </c>
    </row>
    <row r="759" spans="1:4" ht="38.25" x14ac:dyDescent="0.2">
      <c r="A759" s="1"/>
      <c r="B759" s="4" t="str">
        <f ca="1">IFERROR(__xludf.DUMMYFUNCTION("""COMPUTED_VALUE"""),"Антикризисная программа")</f>
        <v>Антикризисная программа</v>
      </c>
      <c r="C759" s="4" t="str">
        <f ca="1">IFERROR(__xludf.DUMMYFUNCTION("""COMPUTED_VALUE"""),"Как помочь своему бизнесу в ковидное время, зная юридические тонкости")</f>
        <v>Как помочь своему бизнесу в ковидное время, зная юридические тонкости</v>
      </c>
      <c r="D759" s="1" t="str">
        <f ca="1">IFERROR(__xludf.DUMMYFUNCTION("""COMPUTED_VALUE"""),"- Как сократить риски при работе с сотрудниками
- Безопасная работа с подрядчиками и поставщиками для бизнеса
- Как предотвратить риски при заключении договоров поставки, аренды, подряда
- Как решать вопросы при неисполнении обязательств по договорам: пос"&amp;"тавки, аренды, подряда
- Как легально уйти от штрафов?")</f>
        <v>- Как сократить риски при работе с сотрудниками
- Безопасная работа с подрядчиками и поставщиками для бизнеса
- Как предотвратить риски при заключении договоров поставки, аренды, подряда
- Как решать вопросы при неисполнении обязательств по договорам: поставки, аренды, подряда
- Как легально уйти от штрафов?</v>
      </c>
    </row>
    <row r="760" spans="1:4" ht="25.5" x14ac:dyDescent="0.2">
      <c r="A760" s="1"/>
      <c r="B760" s="4" t="str">
        <f ca="1">IFERROR(__xludf.DUMMYFUNCTION("""COMPUTED_VALUE"""),"Антикризисная программа")</f>
        <v>Антикризисная программа</v>
      </c>
      <c r="C760" s="4" t="str">
        <f ca="1">IFERROR(__xludf.DUMMYFUNCTION("""COMPUTED_VALUE"""),"Антикризисное управление. Финансы")</f>
        <v>Антикризисное управление. Финансы</v>
      </c>
      <c r="D760" s="1" t="str">
        <f ca="1">IFERROR(__xludf.DUMMYFUNCTION("""COMPUTED_VALUE"""),"- Правила движения финансов в кризис  
- Бюджетирование помесячное + еженедельное + ежедневное       
- UNIT-экономика предприятия в кризис  
- Техника безопасности в работе с кредитами и налогами: риск или возможность? 
- Оптимизация фонда оплаты труда 
"&amp;"- График платежей в сложных финансовых условиях")</f>
        <v>- Правила движения финансов в кризис  
- Бюджетирование помесячное + еженедельное + ежедневное       
- UNIT-экономика предприятия в кризис  
- Техника безопасности в работе с кредитами и налогами: риск или возможность? 
- Оптимизация фонда оплаты труда 
- График платежей в сложных финансовых условиях</v>
      </c>
    </row>
    <row r="761" spans="1:4" ht="38.25" x14ac:dyDescent="0.2">
      <c r="A761" s="1"/>
      <c r="B761" s="4" t="str">
        <f ca="1">IFERROR(__xludf.DUMMYFUNCTION("""COMPUTED_VALUE"""),"Антикризисная программа")</f>
        <v>Антикризисная программа</v>
      </c>
      <c r="C761" s="4" t="str">
        <f ca="1">IFERROR(__xludf.DUMMYFUNCTION("""COMPUTED_VALUE"""),"Государственная поддержка предпринимателей во время кризиса")</f>
        <v>Государственная поддержка предпринимателей во время кризиса</v>
      </c>
      <c r="D761" s="1" t="str">
        <f ca="1">IFERROR(__xludf.DUMMYFUNCTION("""COMPUTED_VALUE"""),"- Существующие виды господдержки
- Наиболее подходящие виды поддержки именно для вашего бизнеса
- На что обращать особое внимание при обращении за господдержкой, пошаговый алгоритм действий
- Куда обращаться за господдержкой в вашем регионе?")</f>
        <v>- Существующие виды господдержки
- Наиболее подходящие виды поддержки именно для вашего бизнеса
- На что обращать особое внимание при обращении за господдержкой, пошаговый алгоритм действий
- Куда обращаться за господдержкой в вашем регионе?</v>
      </c>
    </row>
    <row r="762" spans="1:4" ht="25.5" x14ac:dyDescent="0.2">
      <c r="A762" s="1"/>
      <c r="B762" s="4" t="str">
        <f ca="1">IFERROR(__xludf.DUMMYFUNCTION("""COMPUTED_VALUE"""),"Модуль")</f>
        <v>Модуль</v>
      </c>
      <c r="C762" s="4" t="str">
        <f ca="1">IFERROR(__xludf.DUMMYFUNCTION("""COMPUTED_VALUE"""),"Ответственность ключевых лиц в бизнесе")</f>
        <v>Ответственность ключевых лиц в бизнесе</v>
      </c>
      <c r="D762" s="1" t="str">
        <f ca="1">IFERROR(__xludf.DUMMYFUNCTION("""COMPUTED_VALUE"""),"- Штрафы, предмет проверки
- Уголовная ответственность")</f>
        <v>- Штрафы, предмет проверки
- Уголовная ответственность</v>
      </c>
    </row>
    <row r="763" spans="1:4" ht="38.25" x14ac:dyDescent="0.2">
      <c r="A763" s="1"/>
      <c r="B763" s="4"/>
      <c r="C763" s="4" t="str">
        <f ca="1">IFERROR(__xludf.DUMMYFUNCTION("""COMPUTED_VALUE"""),"Как продвигать свой бизнес на разных площадках: ТикТок, Яндекс Кью, Pinterest ")</f>
        <v xml:space="preserve">Как продвигать свой бизнес на разных площадках: ТикТок, Яндекс Кью, Pinterest </v>
      </c>
      <c r="D763" s="1" t="str">
        <f ca="1">IFERROR(__xludf.DUMMYFUNCTION("""COMPUTED_VALUE"""),"- Сервисы мультиссылок при продвижении в Instagram
- Преимущества ТикТок для продвижения
- Продуктовая линейка эксперта для ТикТок
- Яндекс Кью - как продвигать бизнес через построение сообщества
- Виды контента и построение сообщества в Яндекс Кью
- "&amp;"Pinterest как платформа для продвижения товаров и услуг
- Возможности и статистика русскоязычного Pinterest")</f>
        <v>- Сервисы мультиссылок при продвижении в Instagram
- Преимущества ТикТок для продвижения
- Продуктовая линейка эксперта для ТикТок
- Яндекс Кью - как продвигать бизнес через построение сообщества
- Виды контента и построение сообщества в Яндекс Кью
- Pinterest как платформа для продвижения товаров и услуг
- Возможности и статистика русскоязычного Pinterest</v>
      </c>
    </row>
    <row r="764" spans="1:4" ht="12.75" x14ac:dyDescent="0.2">
      <c r="A764" s="1"/>
      <c r="B764" s="4"/>
      <c r="C764" s="4" t="str">
        <f ca="1">IFERROR(__xludf.DUMMYFUNCTION("""COMPUTED_VALUE"""),"Введение в Дизайн-мышление")</f>
        <v>Введение в Дизайн-мышление</v>
      </c>
      <c r="D764" s="1" t="str">
        <f ca="1">IFERROR(__xludf.DUMMYFUNCTION("""COMPUTED_VALUE"""),"- Основы Дизайн-мышления
- Эмпатия + отношение. Инструменты исследования
- Главные инструменты Дизайн-мышления и их применение в бизнесе")</f>
        <v>- Основы Дизайн-мышления
- Эмпатия + отношение. Инструменты исследования
- Главные инструменты Дизайн-мышления и их применение в бизнесе</v>
      </c>
    </row>
    <row r="765" spans="1:4" ht="25.5" x14ac:dyDescent="0.2">
      <c r="A765" s="1"/>
      <c r="B765" s="4"/>
      <c r="C765" s="4" t="str">
        <f ca="1">IFERROR(__xludf.DUMMYFUNCTION("""COMPUTED_VALUE"""),"Дизайн-мышление. Модель сервиса")</f>
        <v>Дизайн-мышление. Модель сервиса</v>
      </c>
      <c r="D765" s="1" t="str">
        <f ca="1">IFERROR(__xludf.DUMMYFUNCTION("""COMPUTED_VALUE"""),"- Управление — основа бизнеса. Практическая активность для выявления слабых сторон. Обучение через практику
- Модель сервиса — то, что делает компанию и ее результаты на данный момент")</f>
        <v>- Управление — основа бизнеса. Практическая активность для выявления слабых сторон. Обучение через практику
- Модель сервиса — то, что делает компанию и ее результаты на данный момент</v>
      </c>
    </row>
    <row r="766" spans="1:4" ht="25.5" x14ac:dyDescent="0.2">
      <c r="A766" s="1"/>
      <c r="B766" s="4"/>
      <c r="C766" s="4" t="str">
        <f ca="1">IFERROR(__xludf.DUMMYFUNCTION("""COMPUTED_VALUE"""),"Дизайн-мышление. Отработка на практике")</f>
        <v>Дизайн-мышление. Отработка на практике</v>
      </c>
      <c r="D766" s="1" t="str">
        <f ca="1">IFERROR(__xludf.DUMMYFUNCTION("""COMPUTED_VALUE"""),"- Игра «Сахар»: что забывают предприниматели, работая с клиентом?
- Практическая работа на поиск ответов для своего бизнеса")</f>
        <v>- Игра «Сахар»: что забывают предприниматели, работая с клиентом?
- Практическая работа на поиск ответов для своего бизнеса</v>
      </c>
    </row>
    <row r="767" spans="1:4" ht="38.25" x14ac:dyDescent="0.2">
      <c r="A767" s="1"/>
      <c r="B767" s="4"/>
      <c r="C767" s="4" t="str">
        <f ca="1">IFERROR(__xludf.DUMMYFUNCTION("""COMPUTED_VALUE"""),"Личная эффективность предпринимателя. Арсенал сверхчеловека")</f>
        <v>Личная эффективность предпринимателя. Арсенал сверхчеловека</v>
      </c>
      <c r="D767" s="1" t="str">
        <f ca="1">IFERROR(__xludf.DUMMYFUNCTION("""COMPUTED_VALUE"""),"- Набор эффективных практик по тайм-менеджменту и стрессоустойчивости 
- Основные навыки и сервисы, которые используют сильные предприниматели
- Узнаете какой у вас уровень эффективности и продуктивности
- В чём вы действительно хороши и какие у вас преоб"&amp;"ладающие роли в команде (по М. Белбину)?")</f>
        <v>- Набор эффективных практик по тайм-менеджменту и стрессоустойчивости 
- Основные навыки и сервисы, которые используют сильные предприниматели
- Узнаете какой у вас уровень эффективности и продуктивности
- В чём вы действительно хороши и какие у вас преобладающие роли в команде (по М. Белбину)?</v>
      </c>
    </row>
    <row r="768" spans="1:4" ht="25.5" x14ac:dyDescent="0.2">
      <c r="A768" s="1"/>
      <c r="B768" s="4"/>
      <c r="C768" s="4" t="str">
        <f ca="1">IFERROR(__xludf.DUMMYFUNCTION("""COMPUTED_VALUE"""),"Как создать и сохранить эффективную команду")</f>
        <v>Как создать и сохранить эффективную команду</v>
      </c>
      <c r="D768" s="1" t="str">
        <f ca="1">IFERROR(__xludf.DUMMYFUNCTION("""COMPUTED_VALUE"""),"- Как научиться правильно считать нагрузку сотрудников и не допустить их эмоционального выгорания?
- Ошибки при создании и размещении вакансии
- Другие типы мотивации, кроме денег
- Способы снижения текучести кадров
- Отработка новых знаний на практике в "&amp;"мини-группах")</f>
        <v>- Как научиться правильно считать нагрузку сотрудников и не допустить их эмоционального выгорания?
- Ошибки при создании и размещении вакансии
- Другие типы мотивации, кроме денег
- Способы снижения текучести кадров
- Отработка новых знаний на практике в мини-группах</v>
      </c>
    </row>
    <row r="769" spans="1:4" ht="38.25" x14ac:dyDescent="0.2">
      <c r="A769" s="1"/>
      <c r="B769" s="4"/>
      <c r="C769" s="4" t="str">
        <f ca="1">IFERROR(__xludf.DUMMYFUNCTION("""COMPUTED_VALUE"""),"Прототипирование и тестирование продукта/услуги/решения проблем")</f>
        <v>Прототипирование и тестирование продукта/услуги/решения проблем</v>
      </c>
      <c r="D769" s="1" t="str">
        <f ca="1">IFERROR(__xludf.DUMMYFUNCTION("""COMPUTED_VALUE"""),"— Какой цели служит создание прототипа?
— Что самое важное в прототипе?
— Что включать в прототип?
— Какие ошибки как правило допускают в тестировании?
— Как протестировать прототип так, чтобы узнать от клиента ценную обратную связь?")</f>
        <v>— Какой цели служит создание прототипа?
— Что самое важное в прототипе?
— Что включать в прототип?
— Какие ошибки как правило допускают в тестировании?
— Как протестировать прототип так, чтобы узнать от клиента ценную обратную связь?</v>
      </c>
    </row>
    <row r="770" spans="1:4" ht="25.5" x14ac:dyDescent="0.2">
      <c r="A770" s="1"/>
      <c r="B770" s="4"/>
      <c r="C770" s="4" t="str">
        <f ca="1">IFERROR(__xludf.DUMMYFUNCTION("""COMPUTED_VALUE"""),"Установочная сессия. Открытие форума")</f>
        <v>Установочная сессия. Открытие форума</v>
      </c>
      <c r="D770" s="1" t="str">
        <f ca="1">IFERROR(__xludf.DUMMYFUNCTION("""COMPUTED_VALUE"""),"- Что ждет участников на форуме?
- Постановка цели на форум, зачем вы здесь?
- Определение точки «А»
- Что такое самозанятость? Зачем быть самозанятым?")</f>
        <v>- Что ждет участников на форуме?
- Постановка цели на форум, зачем вы здесь?
- Определение точки «А»
- Что такое самозанятость? Зачем быть самозанятым?</v>
      </c>
    </row>
    <row r="771" spans="1:4" ht="25.5" x14ac:dyDescent="0.2">
      <c r="A771" s="1"/>
      <c r="B771" s="4"/>
      <c r="C771" s="4" t="str">
        <f ca="1">IFERROR(__xludf.DUMMYFUNCTION("""COMPUTED_VALUE"""),"Пошаговый план для развития бизнес-идеи самозанятого")</f>
        <v>Пошаговый план для развития бизнес-идеи самозанятого</v>
      </c>
      <c r="D771" s="1" t="str">
        <f ca="1">IFERROR(__xludf.DUMMYFUNCTION("""COMPUTED_VALUE"""),"- Налог на профессиональный доход: отличия от других налоговых режимов
- Что нужно для того, чтобы стать самозанятым?
- Порядок регистрации самозанятого — куда идти, что делать?
- Идея-концепция-бизнес-план, пошаговая схема структурирования информации
"&amp;"
- Бизнес-модель и ее тестирование на практике, подводные камни на старте бизнеса
- Примеры из практики самозанятых")</f>
        <v>- Налог на профессиональный доход: отличия от других налоговых режимов
- Что нужно для того, чтобы стать самозанятым?
- Порядок регистрации самозанятого — куда идти, что делать?
- Идея-концепция-бизнес-план, пошаговая схема структурирования информации
- Бизнес-модель и ее тестирование на практике, подводные камни на старте бизнеса
- Примеры из практики самозанятых</v>
      </c>
    </row>
    <row r="772" spans="1:4" ht="12.75" x14ac:dyDescent="0.2">
      <c r="A772" s="1"/>
      <c r="B772" s="4"/>
      <c r="C772" s="4" t="str">
        <f ca="1">IFERROR(__xludf.DUMMYFUNCTION("""COMPUTED_VALUE"""),"Подведение итогов форума   ")</f>
        <v xml:space="preserve">Подведение итогов форума   </v>
      </c>
      <c r="D772" s="1" t="str">
        <f ca="1">IFERROR(__xludf.DUMMYFUNCTION("""COMPUTED_VALUE"""),"- Сверка целей: удалось ли достичь цель, поставленную в начале форума?
- Сверка плана: какие новые знания вы планируете внедрять в ближайшее время? Что вы сделаете сегодня?
- 3 главных инсайта после форума")</f>
        <v>- Сверка целей: удалось ли достичь цель, поставленную в начале форума?
- Сверка плана: какие новые знания вы планируете внедрять в ближайшее время? Что вы сделаете сегодня?
- 3 главных инсайта после форума</v>
      </c>
    </row>
    <row r="773" spans="1:4" ht="51" x14ac:dyDescent="0.2">
      <c r="A773" s="1"/>
      <c r="B773" s="4" t="str">
        <f ca="1">IFERROR(__xludf.DUMMYFUNCTION("""COMPUTED_VALUE"""),"Мастер-класс Социальное предпринимательство")</f>
        <v>Мастер-класс Социальное предпринимательство</v>
      </c>
      <c r="C773" s="4" t="str">
        <f ca="1">IFERROR(__xludf.DUMMYFUNCTION("""COMPUTED_VALUE"""),"Социальное предпринимательство:  тенденции, технологии, перспективы")</f>
        <v>Социальное предпринимательство:  тенденции, технологии, перспективы</v>
      </c>
      <c r="D773" s="1" t="str">
        <f ca="1">IFERROR(__xludf.DUMMYFUNCTION("""COMPUTED_VALUE"""),"- Социальный эффект в бизнесе
- Цели устойчивого развития и формирование миссии
- Диагностика команды и социального эффекта 
- Анализ своего продукта")</f>
        <v>- Социальный эффект в бизнесе
- Цели устойчивого развития и формирование миссии
- Диагностика команды и социального эффекта 
- Анализ своего продукта</v>
      </c>
    </row>
    <row r="774" spans="1:4" ht="25.5" x14ac:dyDescent="0.2">
      <c r="A774" s="1"/>
      <c r="B774" s="4" t="str">
        <f ca="1">IFERROR(__xludf.DUMMYFUNCTION("""COMPUTED_VALUE"""),"Мастер-класс Социальное предпринимательство")</f>
        <v>Мастер-класс Социальное предпринимательство</v>
      </c>
      <c r="C774" s="4" t="str">
        <f ca="1">IFERROR(__xludf.DUMMYFUNCTION("""COMPUTED_VALUE"""),"Бизнес-модель социального предпринимательства")</f>
        <v>Бизнес-модель социального предпринимательства</v>
      </c>
      <c r="D774" s="1" t="str">
        <f ca="1">IFERROR(__xludf.DUMMYFUNCTION("""COMPUTED_VALUE"""),"- Анализ целевой аудитории, ценностного предложения и конкурентов
- Бизнес модель социального предпринимательства
- Инструменты анализа бизнес-модели
- Формула устойчивости проекта социального предпринимательства")</f>
        <v>- Анализ целевой аудитории, ценностного предложения и конкурентов
- Бизнес модель социального предпринимательства
- Инструменты анализа бизнес-модели
- Формула устойчивости проекта социального предпринимательства</v>
      </c>
    </row>
    <row r="775" spans="1:4" ht="38.25" x14ac:dyDescent="0.2">
      <c r="A775" s="1"/>
      <c r="B775" s="4" t="str">
        <f ca="1">IFERROR(__xludf.DUMMYFUNCTION("""COMPUTED_VALUE"""),"Серия вебинаров")</f>
        <v>Серия вебинаров</v>
      </c>
      <c r="C775" s="6" t="str">
        <f ca="1">IFERROR(__xludf.DUMMYFUNCTION("""COMPUTED_VALUE"""),"Презентация платформы знаний и сервисов для бизнеса
dasreda.ru")</f>
        <v>Презентация платформы знаний и сервисов для бизнеса
dasreda.ru</v>
      </c>
      <c r="D775" s="1" t="str">
        <f ca="1">IFERROR(__xludf.DUMMYFUNCTION("""COMPUTED_VALUE"""),"- Как открыть бизнес онлайн с помощью платформы? 
- Полезные сервисы для начинающих и опытных предпринимателей
- База знаний: что читать и смотреть? Зачем предпринимателям учиться?")</f>
        <v>- Как открыть бизнес онлайн с помощью платформы? 
- Полезные сервисы для начинающих и опытных предпринимателей
- База знаний: что читать и смотреть? Зачем предпринимателям учиться?</v>
      </c>
    </row>
    <row r="776" spans="1:4" ht="51" x14ac:dyDescent="0.2">
      <c r="A776" s="1"/>
      <c r="B776" s="4"/>
      <c r="C776" s="4" t="str">
        <f ca="1">IFERROR(__xludf.DUMMYFUNCTION("""COMPUTED_VALUE"""),"Обзор и сравнение ведущих платформ для онлайн-обучения
и проведения деловых мероприятий")</f>
        <v>Обзор и сравнение ведущих платформ для онлайн-обучения
и проведения деловых мероприятий</v>
      </c>
      <c r="D776" s="1" t="str">
        <f ca="1">IFERROR(__xludf.DUMMYFUNCTION("""COMPUTED_VALUE"""),"- Особенности настройки на удаленную работу
- Обзор диалоговых сервисов для удаленных коммуникаций и обучения
- Платформы для мероприятий: Zoom, Webinar.ru, Proficonf, Google Hangouts
- Доски для совместной работы: Miro, Padlet, Jamboard
- Обзор сервисов "&amp;"для синхронной и асинхронной работы удаленной команды: trello, Jira, Asana 
- Сервисы для повышения личной эффективности")</f>
        <v>- Особенности настройки на удаленную работу
- Обзор диалоговых сервисов для удаленных коммуникаций и обучения
- Платформы для мероприятий: Zoom, Webinar.ru, Proficonf, Google Hangouts
- Доски для совместной работы: Miro, Padlet, Jamboard
- Обзор сервисов для синхронной и асинхронной работы удаленной команды: trello, Jira, Asana 
- Сервисы для повышения личной эффективности</v>
      </c>
    </row>
    <row r="777" spans="1:4" ht="38.25" x14ac:dyDescent="0.2">
      <c r="A777" s="1"/>
      <c r="B777" s="4"/>
      <c r="C777" s="4" t="str">
        <f ca="1">IFERROR(__xludf.DUMMYFUNCTION("""COMPUTED_VALUE"""),"Финансы в диджитале: обзор банковских онлайн-сервисов для бизнеса")</f>
        <v>Финансы в диджитале: обзор банковских онлайн-сервисов для бизнеса</v>
      </c>
      <c r="D777" s="1" t="str">
        <f ca="1">IFERROR(__xludf.DUMMYFUNCTION("""COMPUTED_VALUE"""),"- Что изменилось в банковском секторе для бизнеса? Примеры банковских продуктов от: Сбербанк, Точка, Альфа, Тинькофф
- Онлайн старт бизнеса. Как зарегистрироваться
- Онлайн бухгалтерия – как и кто может ей пользоваться?
- Новые услуги банков для оптими"&amp;"зации работы бизнеса
- Бесплатная юридическая и информационная поддержка. Информационные сайты.  Каналы в телеграм
- Сервисы «Защити бизнес» - проверка сотрудников, контрагентов, штрафов. Юрист для бизнеса. Комплаенс-помощник Анализ и консультации по 15"&amp;"-ФЗ
- Забота о сотрудниках с помощью «Зарплатного проекта»
- Куайринг – прием оплаты по QR-коду ")</f>
        <v xml:space="preserve">- Что изменилось в банковском секторе для бизнеса? Примеры банковских продуктов от: Сбербанк, Точка, Альфа, Тинькофф
- Онлайн старт бизнеса. Как зарегистрироваться
- Онлайн бухгалтерия – как и кто может ей пользоваться?
- Новые услуги банков для оптимизации работы бизнеса
- Бесплатная юридическая и информационная поддержка. Информационные сайты.  Каналы в телеграм
- Сервисы «Защити бизнес» - проверка сотрудников, контрагентов, штрафов. Юрист для бизнеса. Комплаенс-помощник Анализ и консультации по 15-ФЗ
- Забота о сотрудниках с помощью «Зарплатного проекта»
- Куайринг – прием оплаты по QR-коду </v>
      </c>
    </row>
    <row r="778" spans="1:4" ht="25.5" x14ac:dyDescent="0.2">
      <c r="A778" s="1"/>
      <c r="B778" s="4"/>
      <c r="C778" s="4" t="str">
        <f ca="1">IFERROR(__xludf.DUMMYFUNCTION("""COMPUTED_VALUE"""),"Видео с платформы ДС
Тема: Продвижение в Интернете")</f>
        <v>Видео с платформы ДС
Тема: Продвижение в Интернете</v>
      </c>
      <c r="D778" s="1" t="str">
        <f ca="1">IFERROR(__xludf.DUMMYFUNCTION("""COMPUTED_VALUE"""),"Что такое email-маркетинг? https://dasreda.ru/learn/video/290 
20 онлайн-сервисов для привлечения клиентов https://dasreda.ru/learn/video/61 
Как создать сообщество для бизнеса в ВКонтакте https://dasreda.ru/learn/video/357 
Как узнать, есть ли спрос на т"&amp;"овар или услугу в интернете https://dasreda.ru/learn/video/523 
Как работает «кастомная» реклама в интернете https://dasreda.ru/learn/video/295 
Как попасть в ТОП органического поиска по картинкам и видео https://dasreda.ru/learn/video/292 
Таргетированна"&amp;"я реклама «ВКонтакте» https://dasreda.ru/learn/video/220  ")</f>
        <v xml:space="preserve">Что такое email-маркетинг? https://dasreda.ru/learn/video/290 
20 онлайн-сервисов для привлечения клиентов https://dasreda.ru/learn/video/61 
Как создать сообщество для бизнеса в ВКонтакте https://dasreda.ru/learn/video/357 
Как узнать, есть ли спрос на товар или услугу в интернете https://dasreda.ru/learn/video/523 
Как работает «кастомная» реклама в интернете https://dasreda.ru/learn/video/295 
Как попасть в ТОП органического поиска по картинкам и видео https://dasreda.ru/learn/video/292 
Таргетированная реклама «ВКонтакте» https://dasreda.ru/learn/video/220  </v>
      </c>
    </row>
    <row r="779" spans="1:4" ht="38.25" x14ac:dyDescent="0.2">
      <c r="A779" s="1"/>
      <c r="B779" s="4"/>
      <c r="C779" s="4" t="str">
        <f ca="1">IFERROR(__xludf.DUMMYFUNCTION("""COMPUTED_VALUE"""),"Видео с платформы ДС для самостоятельного изучения
Бизнес в кризис")</f>
        <v>Видео с платформы ДС для самостоятельного изучения
Бизнес в кризис</v>
      </c>
      <c r="D779" s="1" t="str">
        <f ca="1">IFERROR(__xludf.DUMMYFUNCTION("""COMPUTED_VALUE"""),"Как не дать бизнесу умереть. Ицхак Адизес
https://dasreda.ru/learn/video/508 
Умение преодолевать кризисы приводит к успеху
https://dasreda.ru/learn/video/211 
Управление хаосом
https://dasreda.ru/learn/video/207 ")</f>
        <v xml:space="preserve">Как не дать бизнесу умереть. Ицхак Адизес
https://dasreda.ru/learn/video/508 
Умение преодолевать кризисы приводит к успеху
https://dasreda.ru/learn/video/211 
Управление хаосом
https://dasreda.ru/learn/video/207 </v>
      </c>
    </row>
    <row r="780" spans="1:4" ht="63.75" x14ac:dyDescent="0.2">
      <c r="A780" s="1"/>
      <c r="B780" s="4"/>
      <c r="C780" s="4" t="str">
        <f ca="1">IFERROR(__xludf.DUMMYFUNCTION("""COMPUTED_VALUE"""),"Видео с платформы ДС для самостоятельного изучения
Увеличение прибыли через активные продажи и переговоры")</f>
        <v>Видео с платформы ДС для самостоятельного изучения
Увеличение прибыли через активные продажи и переговоры</v>
      </c>
      <c r="D780" s="1" t="str">
        <f ca="1">IFERROR(__xludf.DUMMYFUNCTION("""COMPUTED_VALUE"""),"Автоматизированные воронки продаж
https://dasreda.ru/learn/video/224 2ч 23 мин
Заботливые скрипты
https://dasreda.ru/learn/video/108 28 мин
Жалоба — это подарок
https://dasreda.ru/learn/video/322 34 мин
Большие результаты чужими руками
https://dasreda.ru/"&amp;"learn/video/156 53 мин
«Возвращенцы»: как вернуть клиента
https://dasreda.ru/learn/video/155 43 мин
Инструменты повышения продаж
https://dasreda.ru/learn/video/157 32 мин")</f>
        <v>Автоматизированные воронки продаж
https://dasreda.ru/learn/video/224 2ч 23 мин
Заботливые скрипты
https://dasreda.ru/learn/video/108 28 мин
Жалоба — это подарок
https://dasreda.ru/learn/video/322 34 мин
Большие результаты чужими руками
https://dasreda.ru/learn/video/156 53 мин
«Возвращенцы»: как вернуть клиента
https://dasreda.ru/learn/video/155 43 мин
Инструменты повышения продаж
https://dasreda.ru/learn/video/157 32 мин</v>
      </c>
    </row>
    <row r="781" spans="1:4" ht="63.75" x14ac:dyDescent="0.2">
      <c r="A781" s="1"/>
      <c r="B781" s="4"/>
      <c r="C781" s="4" t="str">
        <f ca="1">IFERROR(__xludf.DUMMYFUNCTION("""COMPUTED_VALUE"""),"Видео с платформы ДС для самостоятельного изучения
Увеличение прибыли через продвижение в социальных сетях")</f>
        <v>Видео с платформы ДС для самостоятельного изучения
Увеличение прибыли через продвижение в социальных сетях</v>
      </c>
      <c r="D781" s="1" t="str">
        <f ca="1">IFERROR(__xludf.DUMMYFUNCTION("""COMPUTED_VALUE"""),"Маркетинговая стратегия за 30 минут
https://dasreda.ru/learn/video/120 37 мин
Что такое email-маркетинг?
https://dasreda.ru/learn/video/290 33 мин
Customer Journey Map — путь клиента
https://dasreda.ru/learn/video/291 30 мин
Анализ и позиционирование в ма"&amp;"ркетинге
https://dasreda.ru/learn/video/119 1 час 48 мин
Как стать клиентоориентированным
https://dasreda.ru/learn/video/121 30 мин
Упаковка: территория восприятия
https://dasreda.ru/learn/video/140 33 мин
Ловушка создания стоимости
https://dasreda.ru/lea"&amp;"rn/video/297 12 мин
Запуск трафика — как не надо делать
https://dasreda.ru/learn/video/105 11 мин
Как попасть в ТОП органического поиска по картинкам и видео
https://dasreda.ru/learn/video/292 13 мин 
20 онлайн-сервисов для привлечения клиентов
https://da"&amp;"sreda.ru/learn/video/61 10 мин")</f>
        <v>Маркетинговая стратегия за 30 минут
https://dasreda.ru/learn/video/120 37 мин
Что такое email-маркетинг?
https://dasreda.ru/learn/video/290 33 мин
Customer Journey Map — путь клиента
https://dasreda.ru/learn/video/291 30 мин
Анализ и позиционирование в маркетинге
https://dasreda.ru/learn/video/119 1 час 48 мин
Как стать клиентоориентированным
https://dasreda.ru/learn/video/121 30 мин
Упаковка: территория восприятия
https://dasreda.ru/learn/video/140 33 мин
Ловушка создания стоимости
https://dasreda.ru/learn/video/297 12 мин
Запуск трафика — как не надо делать
https://dasreda.ru/learn/video/105 11 мин
Как попасть в ТОП органического поиска по картинкам и видео
https://dasreda.ru/learn/video/292 13 мин 
20 онлайн-сервисов для привлечения клиентов
https://dasreda.ru/learn/video/61 10 мин</v>
      </c>
    </row>
    <row r="782" spans="1:4" ht="25.5" x14ac:dyDescent="0.2">
      <c r="A782" s="1"/>
      <c r="B782" s="4"/>
      <c r="C782" s="4" t="str">
        <f ca="1">IFERROR(__xludf.DUMMYFUNCTION("""COMPUTED_VALUE"""),"Выбор ниши и поиск бизнес-идеи для самозанятого")</f>
        <v>Выбор ниши и поиск бизнес-идеи для самозанятого</v>
      </c>
      <c r="D782" s="1" t="str">
        <f ca="1">IFERROR(__xludf.DUMMYFUNCTION("""COMPUTED_VALUE"""),"- С чего начать выбор ниши?
- Как самозанятому перевести хобби в бизнес?
- Какое хобби возможно оформить как самозанятость?
- Как строить бизнес с учетом трендов и моды?
- Где и как искать первую бизнес-идею: 7 главных критериев")</f>
        <v>- С чего начать выбор ниши?
- Как самозанятому перевести хобби в бизнес?
- Какое хобби возможно оформить как самозанятость?
- Как строить бизнес с учетом трендов и моды?
- Где и как искать первую бизнес-идею: 7 главных критериев</v>
      </c>
    </row>
    <row r="783" spans="1:4" ht="25.5" x14ac:dyDescent="0.2">
      <c r="A783" s="1"/>
      <c r="B783" s="4"/>
      <c r="C783" s="4" t="str">
        <f ca="1">IFERROR(__xludf.DUMMYFUNCTION("""COMPUTED_VALUE"""),"Социальные сети: оформление и ведение ")</f>
        <v xml:space="preserve">Социальные сети: оформление и ведение </v>
      </c>
      <c r="D783" s="1" t="str">
        <f ca="1">IFERROR(__xludf.DUMMYFUNCTION("""COMPUTED_VALUE"""),"- Особенности ведения социальных сетей для госслужащих
- Чек-лист оценки аккаунтов
- Технической оформление аккаунта. Цвет, стиль, описание
- Контент-план. Что выкладывать?
- Табу. Что не выкладывать")</f>
        <v>- Особенности ведения социальных сетей для госслужащих
- Чек-лист оценки аккаунтов
- Технической оформление аккаунта. Цвет, стиль, описание
- Контент-план. Что выкладывать?
- Табу. Что не выкладывать</v>
      </c>
    </row>
    <row r="784" spans="1:4" ht="25.5" x14ac:dyDescent="0.2">
      <c r="A784" s="1"/>
      <c r="B784" s="4"/>
      <c r="C784" s="4" t="str">
        <f ca="1">IFERROR(__xludf.DUMMYFUNCTION("""COMPUTED_VALUE"""),"Социальные сети: оформление и ведение   ")</f>
        <v xml:space="preserve">Социальные сети: оформление и ведение   </v>
      </c>
      <c r="D784" s="1" t="str">
        <f ca="1">IFERROR(__xludf.DUMMYFUNCTION("""COMPUTED_VALUE"""),"- Список эмоций для фотосессии и стикерпака чиновника версии 2.0
- Разбор аккаунтов первых лиц России
- Разбор аккаунтов участников тренинга")</f>
        <v>- Список эмоций для фотосессии и стикерпака чиновника версии 2.0
- Разбор аккаунтов первых лиц России
- Разбор аккаунтов участников тренинга</v>
      </c>
    </row>
    <row r="785" spans="1:4" ht="25.5" x14ac:dyDescent="0.2">
      <c r="A785" s="1"/>
      <c r="B785" s="4"/>
      <c r="C785" s="4" t="str">
        <f ca="1">IFERROR(__xludf.DUMMYFUNCTION("""COMPUTED_VALUE"""),"Социальные сети: оформление и ведение    ")</f>
        <v xml:space="preserve">Социальные сети: оформление и ведение    </v>
      </c>
      <c r="D785" s="1" t="str">
        <f ca="1">IFERROR(__xludf.DUMMYFUNCTION("""COMPUTED_VALUE"""),"- Точки контакта предпринимателя в медиапространстве
- Цели ведения. Для себя и бизнеса. Оценка ресурсов
- Технической оформление аккаунта. Чек-лист оценки аккаунтов. Цвет, стиль, описание
- Контент-план. Что выкладывать?
- Список эмоций для фотосесси"&amp;"и
- Как сделать из сторис сериал, который люди буду смотреть")</f>
        <v>- Точки контакта предпринимателя в медиапространстве
- Цели ведения. Для себя и бизнеса. Оценка ресурсов
- Технической оформление аккаунта. Чек-лист оценки аккаунтов. Цвет, стиль, описание
- Контент-план. Что выкладывать?
- Список эмоций для фотосессии
- Как сделать из сторис сериал, который люди буду смотреть</v>
      </c>
    </row>
    <row r="786" spans="1:4" ht="63.75" x14ac:dyDescent="0.2">
      <c r="A786" s="1"/>
      <c r="B786" s="4"/>
      <c r="C786" s="4" t="str">
        <f ca="1">IFERROR(__xludf.DUMMYFUNCTION("""COMPUTED_VALUE"""),"Цифровизация бизнес-процессов. Настройка работы с удаленными сотрудниками для эффективного продвижения бизнеса и личного бренда")</f>
        <v>Цифровизация бизнес-процессов. Настройка работы с удаленными сотрудниками для эффективного продвижения бизнеса и личного бренда</v>
      </c>
      <c r="D786" s="1" t="str">
        <f ca="1">IFERROR(__xludf.DUMMYFUNCTION("""COMPUTED_VALUE"""),"- Что такое цифровая трансформация бизнеса?
- Обзор мировых трендов в цифровизации бизнеса
- Основные этапы цифровой трансформации бизнеса
- Российские государственные программы по цифровизации бизнеса и их возможности
- Где брать сотрудников для удал"&amp;"енной работы и настройки цифровых процессов?
- Обзор диалоговых и рабочих сервисов для работы удаленной команды")</f>
        <v>- Что такое цифровая трансформация бизнеса?
- Обзор мировых трендов в цифровизации бизнеса
- Основные этапы цифровой трансформации бизнеса
- Российские государственные программы по цифровизации бизнеса и их возможности
- Где брать сотрудников для удаленной работы и настройки цифровых процессов?
- Обзор диалоговых и рабочих сервисов для работы удаленной команды</v>
      </c>
    </row>
    <row r="787" spans="1:4" ht="25.5" x14ac:dyDescent="0.2">
      <c r="A787" s="1"/>
      <c r="B787" s="4" t="str">
        <f ca="1">IFERROR(__xludf.DUMMYFUNCTION("""COMPUTED_VALUE"""),"Лучший сервис на Ямале")</f>
        <v>Лучший сервис на Ямале</v>
      </c>
      <c r="C787" s="4" t="str">
        <f ca="1">IFERROR(__xludf.DUMMYFUNCTION("""COMPUTED_VALUE"""),"Клиентский путь и работа с командой, часть 1")</f>
        <v>Клиентский путь и работа с командой, часть 1</v>
      </c>
      <c r="D787" s="1" t="str">
        <f ca="1">IFERROR(__xludf.DUMMYFUNCTION("""COMPUTED_VALUE"""),"- Презентация программы и результатов межмодульной работы 
- Подведение итогов по межмодульной работе
- Описание Персон
- Формирование матрицы персон")</f>
        <v>- Презентация программы и результатов межмодульной работы 
- Подведение итогов по межмодульной работе
- Описание Персон
- Формирование матрицы персон</v>
      </c>
    </row>
    <row r="788" spans="1:4" ht="25.5" x14ac:dyDescent="0.2">
      <c r="A788" s="1"/>
      <c r="B788" s="4" t="str">
        <f ca="1">IFERROR(__xludf.DUMMYFUNCTION("""COMPUTED_VALUE"""),"Лучший сервис на Ямале")</f>
        <v>Лучший сервис на Ямале</v>
      </c>
      <c r="C788" s="4" t="str">
        <f ca="1">IFERROR(__xludf.DUMMYFUNCTION("""COMPUTED_VALUE"""),"Клиентский путь и работа с командой, часть 2")</f>
        <v>Клиентский путь и работа с командой, часть 2</v>
      </c>
      <c r="D788" s="1" t="str">
        <f ca="1">IFERROR(__xludf.DUMMYFUNCTION("""COMPUTED_VALUE"""),"- Модель сервиса
- Прототипирование работы с персонами
- Построение карты путешествия клиентов
- Формирование процессов компании от потребностей клиента")</f>
        <v>- Модель сервиса
- Прототипирование работы с персонами
- Построение карты путешествия клиентов
- Формирование процессов компании от потребностей клиента</v>
      </c>
    </row>
    <row r="789" spans="1:4" ht="25.5" x14ac:dyDescent="0.2">
      <c r="A789" s="1"/>
      <c r="B789" s="4" t="str">
        <f ca="1">IFERROR(__xludf.DUMMYFUNCTION("""COMPUTED_VALUE"""),"Лучший сервис на Ямале")</f>
        <v>Лучший сервис на Ямале</v>
      </c>
      <c r="C789" s="4" t="str">
        <f ca="1">IFERROR(__xludf.DUMMYFUNCTION("""COMPUTED_VALUE"""),"Клиентский путь и работа с командой, часть 3")</f>
        <v>Клиентский путь и работа с командой, часть 3</v>
      </c>
      <c r="D789" s="1" t="str">
        <f ca="1">IFERROR(__xludf.DUMMYFUNCTION("""COMPUTED_VALUE"""),"- Контрактинг команды
- Мотивация персонала
- Совет директоров
- Завершение")</f>
        <v>- Контрактинг команды
- Мотивация персонала
- Совет директоров
- Завершение</v>
      </c>
    </row>
    <row r="790" spans="1:4" ht="63.75" x14ac:dyDescent="0.2">
      <c r="A790" s="1"/>
      <c r="B790" s="4"/>
      <c r="C790" s="6" t="str">
        <f ca="1">IFERROR(__xludf.DUMMYFUNCTION("""COMPUTED_VALUE"""),"Как привлечь бесконечный поток
клиентов из интернета
Система инструментов интернет-
маркетинга
Видео dasreda.ru")</f>
        <v>Как привлечь бесконечный поток
клиентов из интернета
Система инструментов интернет-
маркетинга
Видео dasreda.ru</v>
      </c>
      <c r="D790" s="1" t="str">
        <f ca="1">IFERROR(__xludf.DUMMYFUNCTION("""COMPUTED_VALUE"""),"Маркетинговая стратегия за 30 минут
https://dasreda.ru/learn/video/120 37 мин
Что такое email-маркетинг?
https://dasreda.ru/learn/video/290 33 мин
Customer Journey Map — путь клиента
https://dasreda.ru/learn/video/291 30 мин
Как стать клиентоориентированн"&amp;"ым
https://dasreda.ru/learn/video/121 30 мин
20 онлайн-сервисов для привлечения клиентов
https://dasreda.ru/learn/video/61 10 мин")</f>
        <v>Маркетинговая стратегия за 30 минут
https://dasreda.ru/learn/video/120 37 мин
Что такое email-маркетинг?
https://dasreda.ru/learn/video/290 33 мин
Customer Journey Map — путь клиента
https://dasreda.ru/learn/video/291 30 мин
Как стать клиентоориентированным
https://dasreda.ru/learn/video/121 30 мин
20 онлайн-сервисов для привлечения клиентов
https://dasreda.ru/learn/video/61 10 мин</v>
      </c>
    </row>
    <row r="791" spans="1:4" ht="63.75" x14ac:dyDescent="0.2">
      <c r="A791" s="1"/>
      <c r="B791" s="4"/>
      <c r="C791" s="6" t="str">
        <f ca="1">IFERROR(__xludf.DUMMYFUNCTION("""COMPUTED_VALUE"""),"Продвижение бизнеса в социальных сетях: от создания стратегии до привлечения клиентов
Видео dasreda.ru")</f>
        <v>Продвижение бизнеса в социальных сетях: от создания стратегии до привлечения клиентов
Видео dasreda.ru</v>
      </c>
      <c r="D791" s="1" t="str">
        <f ca="1">IFERROR(__xludf.DUMMYFUNCTION("""COMPUTED_VALUE"""),"Анализ и позиционирование в маркетинге
https://dasreda.ru/learn/video/119 1 час 48 мин
Упаковка: территория восприятия
https://dasreda.ru/learn/video/140 33 мин")</f>
        <v>Анализ и позиционирование в маркетинге
https://dasreda.ru/learn/video/119 1 час 48 мин
Упаковка: территория восприятия
https://dasreda.ru/learn/video/140 33 мин</v>
      </c>
    </row>
    <row r="792" spans="1:4" ht="38.25" x14ac:dyDescent="0.2">
      <c r="A792" s="1"/>
      <c r="B792" s="4"/>
      <c r="C792" s="6" t="str">
        <f ca="1">IFERROR(__xludf.DUMMYFUNCTION("""COMPUTED_VALUE"""),"Активные продажи. Как
продавать больше?
Видео dasreda.ru ")</f>
        <v xml:space="preserve">Активные продажи. Как
продавать больше?
Видео dasreda.ru </v>
      </c>
      <c r="D792" s="1" t="str">
        <f ca="1">IFERROR(__xludf.DUMMYFUNCTION("""COMPUTED_VALUE"""),"Автоматизированные воронки продаж
https://dasreda.ru/learn/video/224 2ч 23 мин")</f>
        <v>Автоматизированные воронки продаж
https://dasreda.ru/learn/video/224 2ч 23 мин</v>
      </c>
    </row>
    <row r="793" spans="1:4" ht="38.25" x14ac:dyDescent="0.2">
      <c r="A793" s="1"/>
      <c r="B793" s="4"/>
      <c r="C793" s="6" t="str">
        <f ca="1">IFERROR(__xludf.DUMMYFUNCTION("""COMPUTED_VALUE"""),"Продажи для новичков. Как
начать продавать?
Видео dasreda.ru ")</f>
        <v xml:space="preserve">Продажи для новичков. Как
начать продавать?
Видео dasreda.ru </v>
      </c>
      <c r="D793" s="1" t="str">
        <f ca="1">IFERROR(__xludf.DUMMYFUNCTION("""COMPUTED_VALUE"""),"Заботливые скрипты
https://dasreda.ru/learn/video/108 28 мин
Жалоба — это подарок
https://dasreda.ru/learn/video/322 34 мин
Большие результаты чужими руками
https://dasreda.ru/learn/video/156 53 мин
Инструменты повышения продаж
https://dasreda.ru/l"&amp;"earn/video/157 32 мин")</f>
        <v>Заботливые скрипты
https://dasreda.ru/learn/video/108 28 мин
Жалоба — это подарок
https://dasreda.ru/learn/video/322 34 мин
Большие результаты чужими руками
https://dasreda.ru/learn/video/156 53 мин
Инструменты повышения продаж
https://dasreda.ru/learn/video/157 32 мин</v>
      </c>
    </row>
    <row r="794" spans="1:4" ht="38.25" x14ac:dyDescent="0.2">
      <c r="A794" s="1"/>
      <c r="B794" s="4"/>
      <c r="C794" s="4" t="str">
        <f ca="1">IFERROR(__xludf.DUMMYFUNCTION("""COMPUTED_VALUE"""),"10 принципов личного бренда. Как выделиться на рынке. Упаковка продукта или услуги")</f>
        <v>10 принципов личного бренда. Как выделиться на рынке. Упаковка продукта или услуги</v>
      </c>
      <c r="D794" s="1" t="str">
        <f ca="1">IFERROR(__xludf.DUMMYFUNCTION("""COMPUTED_VALUE"""),"- Что такое Упаковка и зачем она нужна?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
- Коммуникации между ауд"&amp;"иторией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Простые практики и чек-листы"&amp;" по созданию продающей упаковки продукта или услуги 
- Как создавать WOW-эффект благодаря скрайбингу
- Кейсы самозанятых. Истории реальных людей")</f>
        <v>- Что такое Упаковка и зачем она нужна?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
- Коммуникации между аудиторией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Простые практики и чек-листы по созданию продающей упаковки продукта или услуги 
- Как создавать WOW-эффект благодаря скрайбингу
- Кейсы самозанятых. Истории реальных людей</v>
      </c>
    </row>
    <row r="795" spans="1:4" ht="51" x14ac:dyDescent="0.2">
      <c r="A795" s="1"/>
      <c r="B795" s="4"/>
      <c r="C795" s="6" t="str">
        <f ca="1">IFERROR(__xludf.DUMMYFUNCTION("""COMPUTED_VALUE"""),"Видео с платформы dasreda.ru для самостоятельного изучения по программе Бизнес-старт для самозанятых")</f>
        <v>Видео с платформы dasreda.ru для самостоятельного изучения по программе Бизнес-старт для самозанятых</v>
      </c>
      <c r="D795" s="1" t="str">
        <f ca="1">IFERROR(__xludf.DUMMYFUNCTION("""COMPUTED_VALUE"""),"Автоматизированные воронки продаж
https://dasreda.ru/learn/video/224 2ч 23 мин
Заботливые скрипты
https://dasreda.ru/learn/video/108 28 мин
Жалоба — это подарок
https://dasreda.ru/learn/video/322 34 мин
Большие результаты чужими руками
https://dasreda.ru/"&amp;"learn/video/156 53 мин
«Возвращенцы»: как вернуть клиента
https://dasreda.ru/learn/video/155 43 мин
Инструменты повышения продаж
https://dasreda.ru/learn/video/157 32 мин""
""Маркетинговая стратегия за 30 минут
https://dasreda.ru/learn/video/120 37 мин
Чт"&amp;"о такое email-маркетинг?
https://dasreda.ru/learn/video/290 33 мин
Customer Journey Map — путь клиента
https://dasreda.ru/learn/video/291 30 мин
Анализ и позиционирование в маркетинге
https://dasreda.ru/learn/video/119 1 час 48 мин")</f>
        <v>Автоматизированные воронки продаж
https://dasreda.ru/learn/video/224 2ч 23 мин
Заботливые скрипты
https://dasreda.ru/learn/video/108 28 мин
Жалоба — это подарок
https://dasreda.ru/learn/video/322 34 мин
Большие результаты чужими руками
https://dasreda.ru/learn/video/156 53 мин
«Возвращенцы»: как вернуть клиента
https://dasreda.ru/learn/video/155 43 мин
Инструменты повышения продаж
https://dasreda.ru/learn/video/157 32 мин"
"Маркетинговая стратегия за 30 минут
https://dasreda.ru/learn/video/120 37 мин
Что такое email-маркетинг?
https://dasreda.ru/learn/video/290 33 мин
Customer Journey Map — путь клиента
https://dasreda.ru/learn/video/291 30 мин
Анализ и позиционирование в маркетинге
https://dasreda.ru/learn/video/119 1 час 48 мин</v>
      </c>
    </row>
    <row r="796" spans="1:4" ht="38.25" x14ac:dyDescent="0.2">
      <c r="A796" s="1"/>
      <c r="B796" s="4"/>
      <c r="C796" s="4" t="str">
        <f ca="1">IFERROR(__xludf.DUMMYFUNCTION("""COMPUTED_VALUE"""),"Project-management.   От ручного управления к эффективной работе команды и руководителя")</f>
        <v>Project-management.   От ручного управления к эффективной работе команды и руководителя</v>
      </c>
      <c r="D796" s="1" t="str">
        <f ca="1">IFERROR(__xludf.DUMMYFUNCTION("""COMPUTED_VALUE"""),"10:00-15:00
- Разберём из чего состоит успешная презентация
- Усвоим на практике как привлекать внимание аудитории и говорить так, чтобы вас хотелось слушать
- Опробуем техники и приемы для управления невербальным посылом с целью изменения состояния и усп"&amp;"ешных выступлений
- Поупражняемся в презентации своего продукта
15:00-18:00
- Защита лучших бизнес-гипотез
- Обратная связь от экспертов
- Вручение подарков победителям")</f>
        <v>10:00-15:00
- Разберём из чего состоит успешная презентация
- Усвоим на практике как привлекать внимание аудитории и говорить так, чтобы вас хотелось слушать
- Опробуем техники и приемы для управления невербальным посылом с целью изменения состояния и успешных выступлений
- Поупражняемся в презентации своего продукта
15:00-18:00
- Защита лучших бизнес-гипотез
- Обратная связь от экспертов
- Вручение подарков победителям</v>
      </c>
    </row>
    <row r="797" spans="1:4" ht="25.5" x14ac:dyDescent="0.2">
      <c r="A797" s="1"/>
      <c r="B797" s="4"/>
      <c r="C797" s="4" t="str">
        <f ca="1">IFERROR(__xludf.DUMMYFUNCTION("""COMPUTED_VALUE"""),"Собственный бренд для самозанятого")</f>
        <v>Собственный бренд для самозанятого</v>
      </c>
      <c r="D797" s="1" t="str">
        <f ca="1">IFERROR(__xludf.DUMMYFUNCTION("""COMPUTED_VALUE"""),"- Личный бренд — понятия и почему эта тема так востребована;
- Как сформировать своё уникальное личное предложение;
- Как выделить себя среди конкурентов;
- Как продвигать себя через СМИ;
- Как правильно оформлять социальные сети;
- Как монетизироват"&amp;"ь свой личный бренд.
")</f>
        <v xml:space="preserve">- Личный бренд — понятия и почему эта тема так востребована;
- Как сформировать своё уникальное личное предложение;
- Как выделить себя среди конкурентов;
- Как продвигать себя через СМИ;
- Как правильно оформлять социальные сети;
- Как монетизировать свой личный бренд.
</v>
      </c>
    </row>
    <row r="798" spans="1:4" ht="51" x14ac:dyDescent="0.2">
      <c r="A798" s="1"/>
      <c r="B798" s="4"/>
      <c r="C798" s="4" t="str">
        <f ca="1">IFERROR(__xludf.DUMMYFUNCTION("""COMPUTED_VALUE"""),"Онлайн торговля для handmade бизнеса. Etsy и Livemaster. Продажи на иностранных маркетплейсах Amazon, Ebay")</f>
        <v>Онлайн торговля для handmade бизнеса. Etsy и Livemaster. Продажи на иностранных маркетплейсах Amazon, Ebay</v>
      </c>
      <c r="D798" s="1" t="str">
        <f ca="1">IFERROR(__xludf.DUMMYFUNCTION("""COMPUTED_VALUE"""),"- Бизнес на handmade - миф или реальность? 
- Тренды handmade на иностранном и российском рынке. Специфика потребительской аудитории handmade
- Гайд по крупнейшим маркетплейсам: Etsy, Livemaster, Amazon, Ebay
- Регистрация, доставка товара, комиссия платф"&amp;"ормы
- Этапы запуска магазина. Основы безбюджетного продвижения")</f>
        <v>- Бизнес на handmade - миф или реальность? 
- Тренды handmade на иностранном и российском рынке. Специфика потребительской аудитории handmade
- Гайд по крупнейшим маркетплейсам: Etsy, Livemaster, Amazon, Ebay
- Регистрация, доставка товара, комиссия платформы
- Этапы запуска магазина. Основы безбюджетного продвижения</v>
      </c>
    </row>
    <row r="799" spans="1:4" ht="51" x14ac:dyDescent="0.2">
      <c r="A799" s="1"/>
      <c r="B799" s="4"/>
      <c r="C799" s="4" t="str">
        <f ca="1">IFERROR(__xludf.DUMMYFUNCTION("""COMPUTED_VALUE"""),"Бизнес-проектирование: как вписать бизнес-идею в проект для планирования бизнес-процессов и получения финансирования   ")</f>
        <v xml:space="preserve">Бизнес-проектирование: как вписать бизнес-идею в проект для планирования бизнес-процессов и получения финансирования   </v>
      </c>
      <c r="D799" s="1" t="str">
        <f ca="1">IFERROR(__xludf.DUMMYFUNCTION("""COMPUTED_VALUE"""),"- Создание бизнес-модели проекта 
- Целевая аудитория проекта 
- 5 рабочих формул создания УТП
- Отстройка от конкурентов: креативные механики")</f>
        <v>- Создание бизнес-модели проекта 
- Целевая аудитория проекта 
- 5 рабочих формул создания УТП
- Отстройка от конкурентов: креативные механики</v>
      </c>
    </row>
    <row r="800" spans="1:4" ht="25.5" x14ac:dyDescent="0.2">
      <c r="A800" s="1"/>
      <c r="B800" s="4"/>
      <c r="C800" s="4" t="str">
        <f ca="1">IFERROR(__xludf.DUMMYFUNCTION("""COMPUTED_VALUE"""),"Личный бренд, как выделить себя среди конкурентов     ")</f>
        <v xml:space="preserve">Личный бренд, как выделить себя среди конкурентов     </v>
      </c>
      <c r="D800" s="1" t="str">
        <f ca="1">IFERROR(__xludf.DUMMYFUNCTION("""COMPUTED_VALUE"""),"- Личный бренд. Концепция «Путь»
- 3 первых шага запуска личного бренда 
- Искусство очаровывать незнакомцев. Число Данбара и 5 запретных тем для разговора
- Аудит окружения по формуле 30/40/30
- Аудит ресурсов
- Тебе мешает только страх. 13 инструме"&amp;"нтов, чтобы подружиться со страхом 
- Алхимия публичных выступлений
- Круг влияния спикера
- Определение типа спикера
- 5 слоев самопрезентации себя как бренда
- Распаковка личного бренда
- 55 вопросов для распаковки 
- Тест для опроса аудитории 
"&amp;"- 3 первичных теста для самоанализа 
- Вспомогательные инструменты для продвижения вашего личного бренда")</f>
        <v>- Личный бренд. Концепция «Путь»
- 3 первых шага запуска личного бренда 
- Искусство очаровывать незнакомцев. Число Данбара и 5 запретных тем для разговора
- Аудит окружения по формуле 30/40/30
- Аудит ресурсов
- Тебе мешает только страх. 13 инструментов, чтобы подружиться со страхом 
- Алхимия публичных выступлений
- Круг влияния спикера
- Определение типа спикера
- 5 слоев самопрезентации себя как бренда
- Распаковка личного бренда
- 55 вопросов для распаковки 
- Тест для опроса аудитории 
- 3 первичных теста для самоанализа 
- Вспомогательные инструменты для продвижения вашего личного бренда</v>
      </c>
    </row>
    <row r="801" spans="1:4" ht="51" x14ac:dyDescent="0.2">
      <c r="A801" s="1"/>
      <c r="B801" s="4" t="str">
        <f ca="1">IFERROR(__xludf.DUMMYFUNCTION("""COMPUTED_VALUE"""),"Деловая игра")</f>
        <v>Деловая игра</v>
      </c>
      <c r="C801" s="4" t="str">
        <f ca="1">IFERROR(__xludf.DUMMYFUNCTION("""COMPUTED_VALUE"""),"Как соц предпринимателю использовать дизайн-мышление для создания новых продуктов и услуг? ")</f>
        <v xml:space="preserve">Как соц предпринимателю использовать дизайн-мышление для создания новых продуктов и услуг? </v>
      </c>
      <c r="D801" s="1" t="str">
        <f ca="1">IFERROR(__xludf.DUMMYFUNCTION("""COMPUTED_VALUE"""),"- Знакомство участников
Теоретическая часть:
- Как стать социальным предпринимателем? 
- Какие существуют меры поддержки соц предпринимателей?
- Этапы дизайн-мышления с примерами для деловой игры")</f>
        <v>- Знакомство участников
Теоретическая часть:
- Как стать социальным предпринимателем? 
- Какие существуют меры поддержки соц предпринимателей?
- Этапы дизайн-мышления с примерами для деловой игры</v>
      </c>
    </row>
    <row r="802" spans="1:4" ht="12.75" x14ac:dyDescent="0.2">
      <c r="A802" s="1"/>
      <c r="B802" s="4" t="str">
        <f ca="1">IFERROR(__xludf.DUMMYFUNCTION("""COMPUTED_VALUE"""),"Деловая игра")</f>
        <v>Деловая игра</v>
      </c>
      <c r="C802" s="4" t="str">
        <f ca="1">IFERROR(__xludf.DUMMYFUNCTION("""COMPUTED_VALUE"""),"Игра «Сахар»")</f>
        <v>Игра «Сахар»</v>
      </c>
      <c r="D802" s="1" t="str">
        <f ca="1">IFERROR(__xludf.DUMMYFUNCTION("""COMPUTED_VALUE"""),"- Ведущий выдает инструкцию по игре
- Участники расходятся по залам zoom
- В залах происходит процесс генерации идей
- Участники собираются в общем зале и демонстрируют свои решения
- Ведущий дает обратную связь
- Ведущий дает инструктаж к предстояще"&amp;"й большой игре")</f>
        <v>- Ведущий выдает инструкцию по игре
- Участники расходятся по залам zoom
- В залах происходит процесс генерации идей
- Участники собираются в общем зале и демонстрируют свои решения
- Ведущий дает обратную связь
- Ведущий дает инструктаж к предстоящей большой игре</v>
      </c>
    </row>
    <row r="803" spans="1:4" ht="25.5" x14ac:dyDescent="0.2">
      <c r="A803" s="1"/>
      <c r="B803" s="4" t="str">
        <f ca="1">IFERROR(__xludf.DUMMYFUNCTION("""COMPUTED_VALUE"""),"Деловая игра")</f>
        <v>Деловая игра</v>
      </c>
      <c r="C803" s="4" t="str">
        <f ca="1">IFERROR(__xludf.DUMMYFUNCTION("""COMPUTED_VALUE"""),"1 этап игры – Создание опросника
")</f>
        <v xml:space="preserve">1 этап игры – Создание опросника
</v>
      </c>
      <c r="D803" s="1" t="str">
        <f ca="1">IFERROR(__xludf.DUMMYFUNCTION("""COMPUTED_VALUE"""),"- Участники делятся на команды по разным залам zoom
- В залах участники проводят небольшой нетворкинг на доске Джамборд
- Задача этого этапа: придумать 5-7 вопросов для опросника")</f>
        <v>- Участники делятся на команды по разным залам zoom
- В залах участники проводят небольшой нетворкинг на доске Джамборд
- Задача этого этапа: придумать 5-7 вопросов для опросника</v>
      </c>
    </row>
    <row r="804" spans="1:4" ht="25.5" x14ac:dyDescent="0.2">
      <c r="A804" s="1"/>
      <c r="B804" s="4" t="str">
        <f ca="1">IFERROR(__xludf.DUMMYFUNCTION("""COMPUTED_VALUE"""),"Деловая игра")</f>
        <v>Деловая игра</v>
      </c>
      <c r="C804" s="4" t="str">
        <f ca="1">IFERROR(__xludf.DUMMYFUNCTION("""COMPUTED_VALUE"""),"2 этап игры – Прохождение опроса")</f>
        <v>2 этап игры – Прохождение опроса</v>
      </c>
      <c r="D804" s="1" t="str">
        <f ca="1">IFERROR(__xludf.DUMMYFUNCTION("""COMPUTED_VALUE"""),"- Участники разных команд проходят созданные на 1 этапе опросы друг друга")</f>
        <v>- Участники разных команд проходят созданные на 1 этапе опросы друг друга</v>
      </c>
    </row>
    <row r="805" spans="1:4" ht="12.75" x14ac:dyDescent="0.2">
      <c r="A805" s="1"/>
      <c r="B805" s="4" t="str">
        <f ca="1">IFERROR(__xludf.DUMMYFUNCTION("""COMPUTED_VALUE"""),"Деловая игра")</f>
        <v>Деловая игра</v>
      </c>
      <c r="C805" s="4" t="str">
        <f ca="1">IFERROR(__xludf.DUMMYFUNCTION("""COMPUTED_VALUE"""),"3 этап игры – Анализ опроса")</f>
        <v>3 этап игры – Анализ опроса</v>
      </c>
      <c r="D805" s="1" t="str">
        <f ca="1">IFERROR(__xludf.DUMMYFUNCTION("""COMPUTED_VALUE"""),"- Участники распределяются по своим залам zoom
- Анализируют ответы на опрос
- Фиксируют ответы на доске джамборд")</f>
        <v>- Участники распределяются по своим залам zoom
- Анализируют ответы на опрос
- Фиксируют ответы на доске джамборд</v>
      </c>
    </row>
    <row r="806" spans="1:4" ht="12.75" x14ac:dyDescent="0.2">
      <c r="A806" s="1"/>
      <c r="B806" s="4" t="str">
        <f ca="1">IFERROR(__xludf.DUMMYFUNCTION("""COMPUTED_VALUE"""),"Деловая игра")</f>
        <v>Деловая игра</v>
      </c>
      <c r="C806" s="4" t="str">
        <f ca="1">IFERROR(__xludf.DUMMYFUNCTION("""COMPUTED_VALUE"""),"4 этап игры – Генерация идей")</f>
        <v>4 этап игры – Генерация идей</v>
      </c>
      <c r="D806" s="1" t="str">
        <f ca="1">IFERROR(__xludf.DUMMYFUNCTION("""COMPUTED_VALUE"""),"- Участники генерируют идеи в формате мозгового штурма
- Обсуждение придуманных идей
- Выбор одной идеи для разработки")</f>
        <v>- Участники генерируют идеи в формате мозгового штурма
- Обсуждение придуманных идей
- Выбор одной идеи для разработки</v>
      </c>
    </row>
    <row r="807" spans="1:4" ht="12.75" x14ac:dyDescent="0.2">
      <c r="A807" s="1"/>
      <c r="B807" s="4" t="str">
        <f ca="1">IFERROR(__xludf.DUMMYFUNCTION("""COMPUTED_VALUE"""),"Деловая игра")</f>
        <v>Деловая игра</v>
      </c>
      <c r="C807" s="4" t="str">
        <f ca="1">IFERROR(__xludf.DUMMYFUNCTION("""COMPUTED_VALUE"""),"5 этап игры – Прототипирование")</f>
        <v>5 этап игры – Прототипирование</v>
      </c>
      <c r="D807" s="1" t="str">
        <f ca="1">IFERROR(__xludf.DUMMYFUNCTION("""COMPUTED_VALUE"""),"- Участники создают содержание формата (через схемы, картинки)")</f>
        <v>- Участники создают содержание формата (через схемы, картинки)</v>
      </c>
    </row>
    <row r="808" spans="1:4" ht="12.75" x14ac:dyDescent="0.2">
      <c r="A808" s="1"/>
      <c r="B808" s="4" t="str">
        <f ca="1">IFERROR(__xludf.DUMMYFUNCTION("""COMPUTED_VALUE"""),"Деловая игра")</f>
        <v>Деловая игра</v>
      </c>
      <c r="C808" s="4" t="str">
        <f ca="1">IFERROR(__xludf.DUMMYFUNCTION("""COMPUTED_VALUE"""),"6 этап игры – Тестирование")</f>
        <v>6 этап игры – Тестирование</v>
      </c>
      <c r="D808" s="1" t="str">
        <f ca="1">IFERROR(__xludf.DUMMYFUNCTION("""COMPUTED_VALUE"""),"- Участники в формате World Cafe переходят к другим командам и слушают презентацию, затем дают обратную связь")</f>
        <v>- Участники в формате World Cafe переходят к другим командам и слушают презентацию, затем дают обратную связь</v>
      </c>
    </row>
    <row r="809" spans="1:4" ht="12.75" x14ac:dyDescent="0.2">
      <c r="A809" s="1"/>
      <c r="B809" s="4" t="str">
        <f ca="1">IFERROR(__xludf.DUMMYFUNCTION("""COMPUTED_VALUE"""),"Деловая игра")</f>
        <v>Деловая игра</v>
      </c>
      <c r="C809" s="4" t="str">
        <f ca="1">IFERROR(__xludf.DUMMYFUNCTION("""COMPUTED_VALUE"""),"7 этап игры – Доработка проекта")</f>
        <v>7 этап игры – Доработка проекта</v>
      </c>
      <c r="D809" s="1" t="str">
        <f ca="1">IFERROR(__xludf.DUMMYFUNCTION("""COMPUTED_VALUE"""),"- Участники распределяются по своим залам zoom
- Дорабатывают проект ")</f>
        <v xml:space="preserve">- Участники распределяются по своим залам zoom
- Дорабатывают проект </v>
      </c>
    </row>
    <row r="810" spans="1:4" ht="25.5" x14ac:dyDescent="0.2">
      <c r="A810" s="1"/>
      <c r="B810" s="4" t="str">
        <f ca="1">IFERROR(__xludf.DUMMYFUNCTION("""COMPUTED_VALUE"""),"Деловая игра")</f>
        <v>Деловая игра</v>
      </c>
      <c r="C810" s="4" t="str">
        <f ca="1">IFERROR(__xludf.DUMMYFUNCTION("""COMPUTED_VALUE"""),"8 этап игры – Финальная презентация")</f>
        <v>8 этап игры – Финальная презентация</v>
      </c>
      <c r="D810" s="1" t="str">
        <f ca="1">IFERROR(__xludf.DUMMYFUNCTION("""COMPUTED_VALUE"""),"- Участники собираются в общем зале и презентуют работу
- Модераторы дают обратную связь")</f>
        <v>- Участники собираются в общем зале и презентуют работу
- Модераторы дают обратную связь</v>
      </c>
    </row>
    <row r="811" spans="1:4" ht="12.75" x14ac:dyDescent="0.2">
      <c r="A811" s="1"/>
      <c r="B811" s="4" t="str">
        <f ca="1">IFERROR(__xludf.DUMMYFUNCTION("""COMPUTED_VALUE"""),"Деловая игра")</f>
        <v>Деловая игра</v>
      </c>
      <c r="C811" s="4" t="str">
        <f ca="1">IFERROR(__xludf.DUMMYFUNCTION("""COMPUTED_VALUE"""),"Голосование и обратная связь")</f>
        <v>Голосование и обратная связь</v>
      </c>
      <c r="D811" s="1" t="str">
        <f ca="1">IFERROR(__xludf.DUMMYFUNCTION("""COMPUTED_VALUE"""),"- Участники выбирают лучший проект и дают обратную связь")</f>
        <v>- Участники выбирают лучший проект и дают обратную связь</v>
      </c>
    </row>
    <row r="812" spans="1:4" ht="25.5" x14ac:dyDescent="0.2">
      <c r="A812" s="1"/>
      <c r="B812" s="4" t="str">
        <f ca="1">IFERROR(__xludf.DUMMYFUNCTION("""COMPUTED_VALUE"""),"Самозанятость: новые возможности")</f>
        <v>Самозанятость: новые возможности</v>
      </c>
      <c r="C812" s="4" t="str">
        <f ca="1">IFERROR(__xludf.DUMMYFUNCTION("""COMPUTED_VALUE"""),"Личные продажи для самозанятых ")</f>
        <v xml:space="preserve">Личные продажи для самозанятых </v>
      </c>
      <c r="D812" s="1" t="str">
        <f ca="1">IFERROR(__xludf.DUMMYFUNCTION("""COMPUTED_VALUE"""),"- Как эффективно продавать свой товар/услугу?  
- Технология удвоения личных продаж
- Как зарабатывать больше, составив колесо баланса продавца?
- Как бороться со страхом продаж?")</f>
        <v>- Как эффективно продавать свой товар/услугу?  
- Технология удвоения личных продаж
- Как зарабатывать больше, составив колесо баланса продавца?
- Как бороться со страхом продаж?</v>
      </c>
    </row>
    <row r="813" spans="1:4" ht="25.5" x14ac:dyDescent="0.2">
      <c r="A813" s="1"/>
      <c r="B813" s="4" t="str">
        <f ca="1">IFERROR(__xludf.DUMMYFUNCTION("""COMPUTED_VALUE"""),"Гибкие технологии управления онлайн")</f>
        <v>Гибкие технологии управления онлайн</v>
      </c>
      <c r="C813" s="4" t="str">
        <f ca="1">IFERROR(__xludf.DUMMYFUNCTION("""COMPUTED_VALUE"""),"Agile в бизнесе. Как управлять командой по-другому")</f>
        <v>Agile в бизнесе. Как управлять командой по-другому</v>
      </c>
      <c r="D813" s="1" t="str">
        <f ca="1">IFERROR(__xludf.DUMMYFUNCTION("""COMPUTED_VALUE"""),"- Какие типы управления применимы в разных типах систем и проектов
- Самоорганизация – реальность или миф?
- Agile, Scrum, Lean, Kanban – простым и понятным языком
- Agile манифест – ценности и принципы
- Как управлять задачами и проектами по Scrum
- Прин"&amp;"ципы сверхэффективных команд")</f>
        <v>- Какие типы управления применимы в разных типах систем и проектов
- Самоорганизация – реальность или миф?
- Agile, Scrum, Lean, Kanban – простым и понятным языком
- Agile манифест – ценности и принципы
- Как управлять задачами и проектами по Scrum
- Принципы сверхэффективных команд</v>
      </c>
    </row>
    <row r="814" spans="1:4" ht="25.5" x14ac:dyDescent="0.2">
      <c r="A814" s="1"/>
      <c r="B814" s="4" t="str">
        <f ca="1">IFERROR(__xludf.DUMMYFUNCTION("""COMPUTED_VALUE"""),"Гибкие технологии управления онлайн")</f>
        <v>Гибкие технологии управления онлайн</v>
      </c>
      <c r="C814" s="4" t="str">
        <f ca="1">IFERROR(__xludf.DUMMYFUNCTION("""COMPUTED_VALUE"""),"Принципы бирюзового бизнеса как инструменты роста")</f>
        <v>Принципы бирюзового бизнеса как инструменты роста</v>
      </c>
      <c r="D814" s="1" t="str">
        <f ca="1">IFERROR(__xludf.DUMMYFUNCTION("""COMPUTED_VALUE"""),"- Эволюция развития взглядов на развитие бизнеса
- Принципы построения бирюзового бизнеса
- Бирюзовый бизнес: за и против
- «Бирюза» не для России. Так ли это?
- Нужно ли переформатировать свою компанию?
- Где лежат грабли на «бирюзовых» тропинках
- Надо "&amp;"ли «шкурить» перед покраской или красить")</f>
        <v>- Эволюция развития взглядов на развитие бизнеса
- Принципы построения бирюзового бизнеса
- Бирюзовый бизнес: за и против
- «Бирюза» не для России. Так ли это?
- Нужно ли переформатировать свою компанию?
- Где лежат грабли на «бирюзовых» тропинках
- Надо ли «шкурить» перед покраской или красить</v>
      </c>
    </row>
    <row r="815" spans="1:4" ht="38.25" x14ac:dyDescent="0.2">
      <c r="A815" s="1"/>
      <c r="B815" s="4" t="str">
        <f ca="1">IFERROR(__xludf.DUMMYFUNCTION("""COMPUTED_VALUE"""),"Гибкие технологии управления онлайн")</f>
        <v>Гибкие технологии управления онлайн</v>
      </c>
      <c r="C815" s="4" t="str">
        <f ca="1">IFERROR(__xludf.DUMMYFUNCTION("""COMPUTED_VALUE"""),"Вовлекающее лидерство: как проводить эффективные совещания онлайн")</f>
        <v>Вовлекающее лидерство: как проводить эффективные совещания онлайн</v>
      </c>
      <c r="D815" s="1" t="str">
        <f ca="1">IFERROR(__xludf.DUMMYFUNCTION("""COMPUTED_VALUE"""),"- Синергия командной работы
- Руководитель «бурлак» или руководитель «сёрфер»?
- Как использовать энергию команды
- Инструменты руководителя «сёрфера»
- 5 приемов эффективного совещания онлайн")</f>
        <v>- Синергия командной работы
- Руководитель «бурлак» или руководитель «сёрфер»?
- Как использовать энергию команды
- Инструменты руководителя «сёрфера»
- 5 приемов эффективного совещания онлайн</v>
      </c>
    </row>
    <row r="816" spans="1:4" ht="38.25" x14ac:dyDescent="0.2">
      <c r="A816" s="1"/>
      <c r="B816" s="4" t="str">
        <f ca="1">IFERROR(__xludf.DUMMYFUNCTION("""COMPUTED_VALUE"""),"Гибкие технологии управления онлайн")</f>
        <v>Гибкие технологии управления онлайн</v>
      </c>
      <c r="C816" s="4" t="str">
        <f ca="1">IFERROR(__xludf.DUMMYFUNCTION("""COMPUTED_VALUE"""),"Вовлекающее лидерство: как проводить эффективные совещания онлайн")</f>
        <v>Вовлекающее лидерство: как проводить эффективные совещания онлайн</v>
      </c>
      <c r="D816" s="1" t="str">
        <f ca="1">IFERROR(__xludf.DUMMYFUNCTION("""COMPUTED_VALUE"""),"- Синергия командной работы
- Руководитель «бурлак» или руководитель «сёрфер»?
- Как использовать энергию команды
- Инструменты руководителя «сёрфера»
- 7 ключевых инструментов для эффективного совещания онлайн")</f>
        <v>- Синергия командной работы
- Руководитель «бурлак» или руководитель «сёрфер»?
- Как использовать энергию команды
- Инструменты руководителя «сёрфера»
- 7 ключевых инструментов для эффективного совещания онлайн</v>
      </c>
    </row>
    <row r="817" spans="1:4" ht="38.25" x14ac:dyDescent="0.2">
      <c r="A817" s="1"/>
      <c r="B817" s="4" t="str">
        <f ca="1">IFERROR(__xludf.DUMMYFUNCTION("""COMPUTED_VALUE"""),"Гибкие технологии управления онлайн")</f>
        <v>Гибкие технологии управления онлайн</v>
      </c>
      <c r="C817" s="4" t="str">
        <f ca="1">IFERROR(__xludf.DUMMYFUNCTION("""COMPUTED_VALUE"""),"Современные методологии для разработки новых продуктов и сервисов")</f>
        <v>Современные методологии для разработки новых продуктов и сервисов</v>
      </c>
      <c r="D817" s="1" t="str">
        <f ca="1">IFERROR(__xludf.DUMMYFUNCTION("""COMPUTED_VALUE"""),"- Методология дизайн-мышления — краткое знакомство
- 7 принципов дизайн-мышления
- Процесс создания новых продуктов и сервисов: эмпатия, фокусировка/формулировка точки зрения, генерация идей, выбор идей, прототипирование, тестирование")</f>
        <v>- Методология дизайн-мышления — краткое знакомство
- 7 принципов дизайн-мышления
- Процесс создания новых продуктов и сервисов: эмпатия, фокусировка/формулировка точки зрения, генерация идей, выбор идей, прототипирование, тестирование</v>
      </c>
    </row>
    <row r="818" spans="1:4" ht="38.25" x14ac:dyDescent="0.2">
      <c r="A818" s="1"/>
      <c r="B818" s="4" t="str">
        <f ca="1">IFERROR(__xludf.DUMMYFUNCTION("""COMPUTED_VALUE"""),"Гибкие технологии управления онлайн")</f>
        <v>Гибкие технологии управления онлайн</v>
      </c>
      <c r="C818" s="4" t="str">
        <f ca="1">IFERROR(__xludf.DUMMYFUNCTION("""COMPUTED_VALUE"""),"Удаленный собственник. Построение и управление бизнесом на удаленке")</f>
        <v>Удаленный собственник. Построение и управление бизнесом на удаленке</v>
      </c>
      <c r="D818" s="1" t="str">
        <f ca="1">IFERROR(__xludf.DUMMYFUNCTION("""COMPUTED_VALUE"""),"- Технология сверхэффективного найма удаленщика за 3 дня
- Чем отличается работа на удаленке и оффлайн
- Отличие фрилансера от штатного удаленщика
- Основные типы удаленных сотрудников
- Как строить бизнес удаленно и системно
- Пошаговый план перехода на "&amp;"удаленное управление бизнесом и сотрудниками")</f>
        <v>- Технология сверхэффективного найма удаленщика за 3 дня
- Чем отличается работа на удаленке и оффлайн
- Отличие фрилансера от штатного удаленщика
- Основные типы удаленных сотрудников
- Как строить бизнес удаленно и системно
- Пошаговый план перехода на удаленное управление бизнесом и сотрудниками</v>
      </c>
    </row>
    <row r="819" spans="1:4" ht="25.5" x14ac:dyDescent="0.2">
      <c r="A819" s="1"/>
      <c r="B819" s="4" t="str">
        <f ca="1">IFERROR(__xludf.DUMMYFUNCTION("""COMPUTED_VALUE"""),"Гибкие технологии управления офлайн")</f>
        <v>Гибкие технологии управления офлайн</v>
      </c>
      <c r="C819" s="4"/>
      <c r="D819" s="1"/>
    </row>
    <row r="820" spans="1:4" ht="25.5" x14ac:dyDescent="0.2">
      <c r="A820" s="1"/>
      <c r="B820" s="4" t="str">
        <f ca="1">IFERROR(__xludf.DUMMYFUNCTION("""COMPUTED_VALUE"""),"Гибкие технологии управления офлайн")</f>
        <v>Гибкие технологии управления офлайн</v>
      </c>
      <c r="C820" s="4"/>
      <c r="D820" s="1"/>
    </row>
    <row r="821" spans="1:4" ht="25.5" x14ac:dyDescent="0.2">
      <c r="A821" s="1"/>
      <c r="B821" s="4" t="str">
        <f ca="1">IFERROR(__xludf.DUMMYFUNCTION("""COMPUTED_VALUE"""),"Гибкие технологии управления офлайн")</f>
        <v>Гибкие технологии управления офлайн</v>
      </c>
      <c r="C821" s="4"/>
      <c r="D821" s="1"/>
    </row>
    <row r="822" spans="1:4" ht="25.5" x14ac:dyDescent="0.2">
      <c r="A822" s="1"/>
      <c r="B822" s="4" t="str">
        <f ca="1">IFERROR(__xludf.DUMMYFUNCTION("""COMPUTED_VALUE"""),"Гибкие технологии управления офлайн")</f>
        <v>Гибкие технологии управления офлайн</v>
      </c>
      <c r="C822" s="4"/>
      <c r="D822" s="1"/>
    </row>
    <row r="823" spans="1:4" ht="25.5" x14ac:dyDescent="0.2">
      <c r="A823" s="1"/>
      <c r="B823" s="4" t="str">
        <f ca="1">IFERROR(__xludf.DUMMYFUNCTION("""COMPUTED_VALUE"""),"Гибкие технологии управления офлайн")</f>
        <v>Гибкие технологии управления офлайн</v>
      </c>
      <c r="C823" s="4"/>
      <c r="D823" s="1"/>
    </row>
    <row r="824" spans="1:4" ht="38.25" x14ac:dyDescent="0.2">
      <c r="A824" s="1"/>
      <c r="B824" s="4" t="str">
        <f ca="1">IFERROR(__xludf.DUMMYFUNCTION("""COMPUTED_VALUE"""),"Программа подготовки менторов онлайн")</f>
        <v>Программа подготовки менторов онлайн</v>
      </c>
      <c r="C824" s="4" t="str">
        <f ca="1">IFERROR(__xludf.DUMMYFUNCTION("""COMPUTED_VALUE"""),"Управление личной эффективностью. Коэффициент жизненной силы ментора. Часть 1")</f>
        <v>Управление личной эффективностью. Коэффициент жизненной силы ментора. Часть 1</v>
      </c>
      <c r="D824" s="1" t="str">
        <f ca="1">IFERROR(__xludf.DUMMYFUNCTION("""COMPUTED_VALUE"""),"- Введение в тему осознанного подхода к управлению своим ресурсным состоянием
- Инструменты управления внешним и внутренним вниманием
- Инструменты повышения уровня бытовой осознанности в жизни человека
- Источники потерь, причины их возникновения и влиян"&amp;"ие на человека в работе и личной жизни
- Современные методы работы с усталостью. Инструменты сохранения баланса")</f>
        <v>- Введение в тему осознанного подхода к управлению своим ресурсным состоянием
- Инструменты управления внешним и внутренним вниманием
- Инструменты повышения уровня бытовой осознанности в жизни человека
- Источники потерь, причины их возникновения и влияние на человека в работе и личной жизни
- Современные методы работы с усталостью. Инструменты сохранения баланса</v>
      </c>
    </row>
    <row r="825" spans="1:4" ht="38.25" x14ac:dyDescent="0.2">
      <c r="A825" s="1"/>
      <c r="B825" s="4" t="str">
        <f ca="1">IFERROR(__xludf.DUMMYFUNCTION("""COMPUTED_VALUE"""),"Программа подготовки менторов онлайн")</f>
        <v>Программа подготовки менторов онлайн</v>
      </c>
      <c r="C825" s="4" t="str">
        <f ca="1">IFERROR(__xludf.DUMMYFUNCTION("""COMPUTED_VALUE"""),"Управление личной эффективностью. Коэффициент жизненной силы ментора. Часть 2")</f>
        <v>Управление личной эффективностью. Коэффициент жизненной силы ментора. Часть 2</v>
      </c>
      <c r="D825" s="1" t="str">
        <f ca="1">IFERROR(__xludf.DUMMYFUNCTION("""COMPUTED_VALUE"""),"- Инструменты повышения уровня эмоционального интеллекта
- Практика внутренних дисциплин: дисциплина общения и дисциплина мысли
- Внешние инструменты поддержания высокого уровня энергии
- Методы развития личной эффективности в ситуации неопределенности
- "&amp;"Осознанная безопасность: как не стать жертвой обстоятельств и не поддаться панике
- Установка на персональную стратегию будущего")</f>
        <v>- Инструменты повышения уровня эмоционального интеллекта
- Практика внутренних дисциплин: дисциплина общения и дисциплина мысли
- Внешние инструменты поддержания высокого уровня энергии
- Методы развития личной эффективности в ситуации неопределенности
- Осознанная безопасность: как не стать жертвой обстоятельств и не поддаться панике
- Установка на персональную стратегию будущего</v>
      </c>
    </row>
    <row r="826" spans="1:4" ht="25.5" x14ac:dyDescent="0.2">
      <c r="A826" s="1"/>
      <c r="B826" s="4" t="str">
        <f ca="1">IFERROR(__xludf.DUMMYFUNCTION("""COMPUTED_VALUE"""),"Программа подготовки менторов онлайн")</f>
        <v>Программа подготовки менторов онлайн</v>
      </c>
      <c r="C826" s="4" t="str">
        <f ca="1">IFERROR(__xludf.DUMMYFUNCTION("""COMPUTED_VALUE"""),"Менторство. Ваш новый уровень отношений в бизнесе. Часть 1")</f>
        <v>Менторство. Ваш новый уровень отношений в бизнесе. Часть 1</v>
      </c>
      <c r="D826" s="1" t="str">
        <f ca="1">IFERROR(__xludf.DUMMYFUNCTION("""COMPUTED_VALUE"""),"- Кто такой ментор, его отличие от коуча и бизнес-консультанта
- Что дает ментор своему протеже. Цель их взаимоотношений
- Три главных характеристики хорошего ментора
- Методы работы ментора. Формат встреч и коммуникация
- Кто может стать ментором и что д"&amp;"ля этого необходимо. Где искать себе ментора?")</f>
        <v>- Кто такой ментор, его отличие от коуча и бизнес-консультанта
- Что дает ментор своему протеже. Цель их взаимоотношений
- Три главных характеристики хорошего ментора
- Методы работы ментора. Формат встреч и коммуникация
- Кто может стать ментором и что для этого необходимо. Где искать себе ментора?</v>
      </c>
    </row>
    <row r="827" spans="1:4" ht="25.5" x14ac:dyDescent="0.2">
      <c r="A827" s="1"/>
      <c r="B827" s="4" t="str">
        <f ca="1">IFERROR(__xludf.DUMMYFUNCTION("""COMPUTED_VALUE"""),"Программа подготовки менторов онлайн")</f>
        <v>Программа подготовки менторов онлайн</v>
      </c>
      <c r="C827" s="4" t="str">
        <f ca="1">IFERROR(__xludf.DUMMYFUNCTION("""COMPUTED_VALUE"""),"Менторство. Ваш новый уровень отношений в бизнесе. Часть 2")</f>
        <v>Менторство. Ваш новый уровень отношений в бизнесе. Часть 2</v>
      </c>
      <c r="D827" s="1" t="str">
        <f ca="1">IFERROR(__xludf.DUMMYFUNCTION("""COMPUTED_VALUE"""),"- Дополнительные форматы менторства
- Что такое Мастермайнд группа (МГ), сила работающей Мастермайнд группы, какие бывают форматы и что обсуждать на встречах Мастермайнд группы
- Что такое Консультационный Совет (КС) и зачем он нужен бизнесу. 10 главных с"&amp;"оставляющих эффективного КС. Управление работой Консультационного Совета")</f>
        <v>- Дополнительные форматы менторства
- Что такое Мастермайнд группа (МГ), сила работающей Мастермайнд группы, какие бывают форматы и что обсуждать на встречах Мастермайнд группы
- Что такое Консультационный Совет (КС) и зачем он нужен бизнесу. 10 главных составляющих эффективного КС. Управление работой Консультационного Совета</v>
      </c>
    </row>
    <row r="828" spans="1:4" ht="25.5" x14ac:dyDescent="0.2">
      <c r="A828" s="1"/>
      <c r="B828" s="4" t="str">
        <f ca="1">IFERROR(__xludf.DUMMYFUNCTION("""COMPUTED_VALUE"""),"Программа подготовки менторов онлайн")</f>
        <v>Программа подготовки менторов онлайн</v>
      </c>
      <c r="C828" s="4" t="str">
        <f ca="1">IFERROR(__xludf.DUMMYFUNCTION("""COMPUTED_VALUE"""),"Личный бренд ментора ")</f>
        <v xml:space="preserve">Личный бренд ментора </v>
      </c>
      <c r="D828" s="1" t="str">
        <f ca="1">IFERROR(__xludf.DUMMYFUNCTION("""COMPUTED_VALUE"""),"- Что такое личный бренд? 3 типа людей, которые его строят
- Концепция «Путь» или как с нуля построить личный бренд ментору? 
- 3 шага активации личного бренда. Практическое упражнение здесь и сейчас 
- Путь героя или как психофизиология тела определяет с"&amp;"тратегию построения личного бренда 
- 7 типов вовлекающих сторис от которых невозможно оторваться или почему будут покупать именно у вас
- Тёмная сторона личного бренда. 2 техники отработки хейтеров в социальных сетях")</f>
        <v>- Что такое личный бренд? 3 типа людей, которые его строят
- Концепция «Путь» или как с нуля построить личный бренд ментору? 
- 3 шага активации личного бренда. Практическое упражнение здесь и сейчас 
- Путь героя или как психофизиология тела определяет стратегию построения личного бренда 
- 7 типов вовлекающих сторис от которых невозможно оторваться или почему будут покупать именно у вас
- Тёмная сторона личного бренда. 2 техники отработки хейтеров в социальных сетях</v>
      </c>
    </row>
    <row r="829" spans="1:4" ht="25.5" x14ac:dyDescent="0.2">
      <c r="A829" s="1"/>
      <c r="B829" s="4" t="str">
        <f ca="1">IFERROR(__xludf.DUMMYFUNCTION("""COMPUTED_VALUE"""),"Программа подготовки менторов онлайн")</f>
        <v>Программа подготовки менторов онлайн</v>
      </c>
      <c r="C829" s="4" t="str">
        <f ca="1">IFERROR(__xludf.DUMMYFUNCTION("""COMPUTED_VALUE"""),"Эмоциональный интеллект в работе ментора")</f>
        <v>Эмоциональный интеллект в работе ментора</v>
      </c>
      <c r="D829" s="1" t="str">
        <f ca="1">IFERROR(__xludf.DUMMYFUNCTION("""COMPUTED_VALUE"""),"- Как эмоциональный интеллект помогает в развитии предпринимательства и в наставничестве 
- Эмоциональная компетентность. Физиология и психология эмоций
- Работа со смыслами и установками менти
- Эмоции и их влияние в бизнесе и менторинге/наставничестве
-"&amp;" Алгоритмы работы с эмоциями менти и своими собственными
- Коучинговый подход в работе ментора ")</f>
        <v xml:space="preserve">- Как эмоциональный интеллект помогает в развитии предпринимательства и в наставничестве 
- Эмоциональная компетентность. Физиология и психология эмоций
- Работа со смыслами и установками менти
- Эмоции и их влияние в бизнесе и менторинге/наставничестве
- Алгоритмы работы с эмоциями менти и своими собственными
- Коучинговый подход в работе ментора </v>
      </c>
    </row>
    <row r="830" spans="1:4" ht="25.5" x14ac:dyDescent="0.2">
      <c r="A830" s="1"/>
      <c r="B830" s="4" t="str">
        <f ca="1">IFERROR(__xludf.DUMMYFUNCTION("""COMPUTED_VALUE"""),"Программа подготовки менторов онлайн")</f>
        <v>Программа подготовки менторов онлайн</v>
      </c>
      <c r="C830" s="4" t="str">
        <f ca="1">IFERROR(__xludf.DUMMYFUNCTION("""COMPUTED_VALUE"""),"Голос как ресурс управления и медийности")</f>
        <v>Голос как ресурс управления и медийности</v>
      </c>
      <c r="D830" s="1" t="str">
        <f ca="1">IFERROR(__xludf.DUMMYFUNCTION("""COMPUTED_VALUE"""),"-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кач"&amp;"еств, работа с моторикой и невербаликой
- Энергия голоса, откуда её брать и для чего она нужна ментору 
- Обнаружение и ликвидация блоков на связках")</f>
        <v>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качеств, работа с моторикой и невербаликой
- Энергия голоса, откуда её брать и для чего она нужна ментору 
- Обнаружение и ликвидация блоков на связках</v>
      </c>
    </row>
    <row r="831" spans="1:4" ht="38.25" x14ac:dyDescent="0.2">
      <c r="A831" s="1"/>
      <c r="B831" s="4" t="str">
        <f ca="1">IFERROR(__xludf.DUMMYFUNCTION("""COMPUTED_VALUE"""),"Программа подготовки менторов офлайн")</f>
        <v>Программа подготовки менторов офлайн</v>
      </c>
      <c r="C831" s="4" t="str">
        <f ca="1">IFERROR(__xludf.DUMMYFUNCTION("""COMPUTED_VALUE"""),"Управление личной эффективностью. Коэффициент жизненной силы ментора")</f>
        <v>Управление личной эффективностью. Коэффициент жизненной силы ментора</v>
      </c>
      <c r="D831" s="1" t="str">
        <f ca="1">IFERROR(__xludf.DUMMYFUNCTION("""COMPUTED_VALUE"""),"- Инструменты управления внешним и внутренним вниманием ментора
- Современные методы работы с усталостью для начинающего ментора
- Инструменты повышения уровня эмоционального интеллекта
- Практика внутренних дисциплин для ментора: дисциплина общения и дис"&amp;"циплина мысли
- Внешние инструменты поддержания высокого уровня энергии ментора
- Установка на персональную стратегию будущего ментора")</f>
        <v>- Инструменты управления внешним и внутренним вниманием ментора
- Современные методы работы с усталостью для начинающего ментора
- Инструменты повышения уровня эмоционального интеллекта
- Практика внутренних дисциплин для ментора: дисциплина общения и дисциплина мысли
- Внешние инструменты поддержания высокого уровня энергии ментора
- Установка на персональную стратегию будущего ментора</v>
      </c>
    </row>
    <row r="832" spans="1:4" ht="25.5" x14ac:dyDescent="0.2">
      <c r="A832" s="1"/>
      <c r="B832" s="4" t="str">
        <f ca="1">IFERROR(__xludf.DUMMYFUNCTION("""COMPUTED_VALUE"""),"Программа подготовки менторов офлайн")</f>
        <v>Программа подготовки менторов офлайн</v>
      </c>
      <c r="C832" s="4" t="str">
        <f ca="1">IFERROR(__xludf.DUMMYFUNCTION("""COMPUTED_VALUE"""),"Голос как ресурс управления и медийности")</f>
        <v>Голос как ресурс управления и медийности</v>
      </c>
      <c r="D832" s="1" t="str">
        <f ca="1">IFERROR(__xludf.DUMMYFUNCTION("""COMPUTED_VALUE"""),"-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кач"&amp;"еств, работа с моторикой и невербаликой- Энергия голоса, откуда её брать и для чего она нужна ментору 
- Обнаружение и ликвидация блоков на связках
")</f>
        <v xml:space="preserve">- Как превратить свой голос в голос ментора
- Почему голос является основным из инструментов работы с аудиторией? 
- Почему важна не только качественна ценность сообщаемой информации, но и способ ее подачи?
- Базовые упражнения для улучшения голосовых качеств, работа с моторикой и невербаликой- Энергия голоса, откуда её брать и для чего она нужна ментору 
- Обнаружение и ликвидация блоков на связках
</v>
      </c>
    </row>
    <row r="833" spans="1:4" ht="25.5" x14ac:dyDescent="0.2">
      <c r="A833" s="1"/>
      <c r="B833" s="4" t="str">
        <f ca="1">IFERROR(__xludf.DUMMYFUNCTION("""COMPUTED_VALUE"""),"Программа подготовки менторов офлайн")</f>
        <v>Программа подготовки менторов офлайн</v>
      </c>
      <c r="C833" s="4" t="str">
        <f ca="1">IFERROR(__xludf.DUMMYFUNCTION("""COMPUTED_VALUE"""),"Личный бренд ментора ")</f>
        <v xml:space="preserve">Личный бренд ментора </v>
      </c>
      <c r="D833" s="1" t="str">
        <f ca="1">IFERROR(__xludf.DUMMYFUNCTION("""COMPUTED_VALUE"""),"- Что такое личный бренд? 3 типа людей, которые его строят
- Концепция «Путь» или как с нуля построить личный бренд ментору? 
- 3 шага активации личного бренда. Практическое упражнение здесь и сейчас 
- Путь героя или как психофизиология тела определяет с"&amp;"тратегию построения личного бренда 
- 7 типов вовлекающих сторис от которых невозможно оторваться или почему будут покупать именно у вас
- Тёмная сторона личного бренда. 2 техники отработки хейтеров в социальных сетях")</f>
        <v>- Что такое личный бренд? 3 типа людей, которые его строят
- Концепция «Путь» или как с нуля построить личный бренд ментору? 
- 3 шага активации личного бренда. Практическое упражнение здесь и сейчас 
- Путь героя или как психофизиология тела определяет стратегию построения личного бренда 
- 7 типов вовлекающих сторис от которых невозможно оторваться или почему будут покупать именно у вас
- Тёмная сторона личного бренда. 2 техники отработки хейтеров в социальных сетях</v>
      </c>
    </row>
    <row r="834" spans="1:4" ht="25.5" x14ac:dyDescent="0.2">
      <c r="A834" s="1"/>
      <c r="B834" s="4" t="str">
        <f ca="1">IFERROR(__xludf.DUMMYFUNCTION("""COMPUTED_VALUE"""),"Программа подготовки менторов офлайн")</f>
        <v>Программа подготовки менторов офлайн</v>
      </c>
      <c r="C834" s="4" t="str">
        <f ca="1">IFERROR(__xludf.DUMMYFUNCTION("""COMPUTED_VALUE"""),"Эмоциональный интеллект в работе ментора")</f>
        <v>Эмоциональный интеллект в работе ментора</v>
      </c>
      <c r="D834" s="1"/>
    </row>
    <row r="835" spans="1:4" ht="25.5" x14ac:dyDescent="0.2">
      <c r="A835" s="1"/>
      <c r="B835" s="4" t="str">
        <f ca="1">IFERROR(__xludf.DUMMYFUNCTION("""COMPUTED_VALUE"""),"Программа подготовки менторов офлайн")</f>
        <v>Программа подготовки менторов офлайн</v>
      </c>
      <c r="C835" s="4" t="str">
        <f ca="1">IFERROR(__xludf.DUMMYFUNCTION("""COMPUTED_VALUE"""),"Менторство. Ваш новый уровень отношений в бизнесе")</f>
        <v>Менторство. Ваш новый уровень отношений в бизнесе</v>
      </c>
      <c r="D835" s="1" t="str">
        <f ca="1">IFERROR(__xludf.DUMMYFUNCTION("""COMPUTED_VALUE"""),"- Кто такой ментор, его отличие от коуча и бизнес-консультанта
- Что дает ментор своему протеже
- Методы работы ментора. Формат встреч и коммуникация
- Что такое Мастермайнд группа (МГ), сила работающей МГ, какие бывают форматы и что обсуждать на встречах"&amp;"
- 10 главных составляющих эффективного Консультационного Совета(КС). Управление работой КС")</f>
        <v>- Кто такой ментор, его отличие от коуча и бизнес-консультанта
- Что дает ментор своему протеже
- Методы работы ментора. Формат встреч и коммуникация
- Что такое Мастермайнд группа (МГ), сила работающей МГ, какие бывают форматы и что обсуждать на встречах
- 10 главных составляющих эффективного Консультационного Совета(КС). Управление работой КС</v>
      </c>
    </row>
    <row r="836" spans="1:4" ht="25.5" x14ac:dyDescent="0.2">
      <c r="A836" s="1"/>
      <c r="B836" s="4" t="str">
        <f ca="1">IFERROR(__xludf.DUMMYFUNCTION("""COMPUTED_VALUE"""),"Программа подготовки менторов офлайн")</f>
        <v>Программа подготовки менторов офлайн</v>
      </c>
      <c r="C836" s="4"/>
      <c r="D836" s="1"/>
    </row>
    <row r="837" spans="1:4" ht="25.5" x14ac:dyDescent="0.2">
      <c r="A837" s="1"/>
      <c r="B837" s="4" t="str">
        <f ca="1">IFERROR(__xludf.DUMMYFUNCTION("""COMPUTED_VALUE"""),"Антикризисная программа онлайн")</f>
        <v>Антикризисная программа онлайн</v>
      </c>
      <c r="C837" s="4" t="str">
        <f ca="1">IFERROR(__xludf.DUMMYFUNCTION("""COMPUTED_VALUE"""),"Первоочередные меры Антикризиса")</f>
        <v>Первоочередные меры Антикризиса</v>
      </c>
      <c r="D837" s="1" t="str">
        <f ca="1">IFERROR(__xludf.DUMMYFUNCTION("""COMPUTED_VALUE"""),"-Как оптимизировать фонд оплаты труда с наименьшими потерями?
-Как правильно управлять финансами? Внедрение платежного календаря, реструктуризация
-Как снизить аренду? Обоснования для снижения ставки и варианты писем
-Что делать с маркетингом? Новые клиен"&amp;"ты или удержания старых
-Как оптимизировать себестоимость продукта? Ежедневный контроль
-Интеграция новых продуктов/услуг для увеличения среднего чека")</f>
        <v>-Как оптимизировать фонд оплаты труда с наименьшими потерями?
-Как правильно управлять финансами? Внедрение платежного календаря, реструктуризация
-Как снизить аренду? Обоснования для снижения ставки и варианты писем
-Что делать с маркетингом? Новые клиенты или удержания старых
-Как оптимизировать себестоимость продукта? Ежедневный контроль
-Интеграция новых продуктов/услуг для увеличения среднего чека</v>
      </c>
    </row>
    <row r="838" spans="1:4" ht="12.75" x14ac:dyDescent="0.2">
      <c r="A838" s="1"/>
      <c r="B838" s="4" t="str">
        <f ca="1">IFERROR(__xludf.DUMMYFUNCTION("""COMPUTED_VALUE"""),"Антикризисная программа онлайн")</f>
        <v>Антикризисная программа онлайн</v>
      </c>
      <c r="C838" s="4" t="str">
        <f ca="1">IFERROR(__xludf.DUMMYFUNCTION("""COMPUTED_VALUE"""),"Карантин. Продажи. Примеры")</f>
        <v>Карантин. Продажи. Примеры</v>
      </c>
      <c r="D838" s="1" t="str">
        <f ca="1">IFERROR(__xludf.DUMMYFUNCTION("""COMPUTED_VALUE"""),"- Что изменилось с приходом вируса в разрезе продаж?
- Этапы продаж и их изменение в настоящий момент? Когда продавать быстрее, а когда не спешить?
- Скрипты общения по телефону и в переписке 
- Обеспечение безопасности сделки (защита от мошенников)
- Нов"&amp;"ые механики оплаты услуг/товаров
- Защита от агрессии населения и клиентов при продажах ")</f>
        <v xml:space="preserve">- Что изменилось с приходом вируса в разрезе продаж?
- Этапы продаж и их изменение в настоящий момент? Когда продавать быстрее, а когда не спешить?
- Скрипты общения по телефону и в переписке 
- Обеспечение безопасности сделки (защита от мошенников)
- Новые механики оплаты услуг/товаров
- Защита от агрессии населения и клиентов при продажах </v>
      </c>
    </row>
    <row r="839" spans="1:4" ht="25.5" x14ac:dyDescent="0.2">
      <c r="A839" s="1"/>
      <c r="B839" s="4" t="str">
        <f ca="1">IFERROR(__xludf.DUMMYFUNCTION("""COMPUTED_VALUE"""),"Антикризисная программа онлайн")</f>
        <v>Антикризисная программа онлайн</v>
      </c>
      <c r="C839" s="4" t="str">
        <f ca="1">IFERROR(__xludf.DUMMYFUNCTION("""COMPUTED_VALUE"""),"Антипаника: управление состоянием Команды")</f>
        <v>Антипаника: управление состоянием Команды</v>
      </c>
      <c r="D839" s="1" t="str">
        <f ca="1">IFERROR(__xludf.DUMMYFUNCTION("""COMPUTED_VALUE"""),"- Как работают эмоции: пирамида осознанности и физиология эмоций
- Что запускает панические состояния
- Понятие о ресурсном и не ресурсном состоянии и признаки обоих
- Рефрейминг посланий от других людей и из СМИ
- Работа с телом, эмоциями и мыслями в сит"&amp;"уации заражения
- Выбор и поддержание целевого эмоционального состояния в периоды кризиса")</f>
        <v>- Как работают эмоции: пирамида осознанности и физиология эмоций
- Что запускает панические состояния
- Понятие о ресурсном и не ресурсном состоянии и признаки обоих
- Рефрейминг посланий от других людей и из СМИ
- Работа с телом, эмоциями и мыслями в ситуации заражения
- Выбор и поддержание целевого эмоционального состояния в периоды кризиса</v>
      </c>
    </row>
    <row r="840" spans="1:4" ht="25.5" x14ac:dyDescent="0.2">
      <c r="A840" s="1"/>
      <c r="B840" s="4" t="str">
        <f ca="1">IFERROR(__xludf.DUMMYFUNCTION("""COMPUTED_VALUE"""),"Антикризисная программа онлайн")</f>
        <v>Антикризисная программа онлайн</v>
      </c>
      <c r="C840" s="4" t="str">
        <f ca="1">IFERROR(__xludf.DUMMYFUNCTION("""COMPUTED_VALUE"""),"Рост бизнеса: что делать когда конкуренты в прострации")</f>
        <v>Рост бизнеса: что делать когда конкуренты в прострации</v>
      </c>
      <c r="D840" s="1" t="str">
        <f ca="1">IFERROR(__xludf.DUMMYFUNCTION("""COMPUTED_VALUE"""),"- Маркетинг и привлечение клиентов с более низкими рекламными бюджетами 
- Финансы и пересогласование финансовых условий с партнерами и поставщиками
- Персонал: дообучение и хантинг сотрудников конкурентов
- Разработка новых продуктов с учётом изменившего"&amp;"ся рынка
- Новые способы продаж и забытые схемы работы 
- Психология отношений в кризис с целью выстраивания долгосрочных отношений")</f>
        <v>- Маркетинг и привлечение клиентов с более низкими рекламными бюджетами 
- Финансы и пересогласование финансовых условий с партнерами и поставщиками
- Персонал: дообучение и хантинг сотрудников конкурентов
- Разработка новых продуктов с учётом изменившегося рынка
- Новые способы продаж и забытые схемы работы 
- Психология отношений в кризис с целью выстраивания долгосрочных отношений</v>
      </c>
    </row>
    <row r="841" spans="1:4" ht="25.5" x14ac:dyDescent="0.2">
      <c r="A841" s="1"/>
      <c r="B841" s="4" t="str">
        <f ca="1">IFERROR(__xludf.DUMMYFUNCTION("""COMPUTED_VALUE"""),"Антикризисная программа онлайн")</f>
        <v>Антикризисная программа онлайн</v>
      </c>
      <c r="C841" s="4" t="str">
        <f ca="1">IFERROR(__xludf.DUMMYFUNCTION("""COMPUTED_VALUE"""),"Антикризисное управление. Финансы")</f>
        <v>Антикризисное управление. Финансы</v>
      </c>
      <c r="D841" s="1" t="str">
        <f ca="1">IFERROR(__xludf.DUMMYFUNCTION("""COMPUTED_VALUE"""),"- Правила движения финансов в кризис  
- Бюджетирование помесячное + еженедельное + ежедневное       
- UNIT-экономика предприятия в кризис  
- Техника безопасности в работе с кредитами и налогами: риск или возможность? 
- Оптимизация фонда оплаты труда 
"&amp;"- График платежей в сложных финансовых условиях")</f>
        <v>- Правила движения финансов в кризис  
- Бюджетирование помесячное + еженедельное + ежедневное       
- UNIT-экономика предприятия в кризис  
- Техника безопасности в работе с кредитами и налогами: риск или возможность? 
- Оптимизация фонда оплаты труда 
- График платежей в сложных финансовых условиях</v>
      </c>
    </row>
    <row r="842" spans="1:4" ht="12.75" x14ac:dyDescent="0.2">
      <c r="A842" s="1"/>
      <c r="B842" s="4" t="str">
        <f ca="1">IFERROR(__xludf.DUMMYFUNCTION("""COMPUTED_VALUE"""),"Антикризисная программа онлайн")</f>
        <v>Антикризисная программа онлайн</v>
      </c>
      <c r="C842" s="4" t="str">
        <f ca="1">IFERROR(__xludf.DUMMYFUNCTION("""COMPUTED_VALUE"""),"Перевод сотрудников на удалёнку")</f>
        <v>Перевод сотрудников на удалёнку</v>
      </c>
      <c r="D842" s="1" t="str">
        <f ca="1">IFERROR(__xludf.DUMMYFUNCTION("""COMPUTED_VALUE"""),"- Главные отличия дистанционной работы. Что мы на самом деле теряем, работая удаленно?
- Организация дистанционной работы: домашний офис. Особенности организации рабочего режима и пространства
- Правила работы на удалении – о чем нужно договориться
- Цикл"&amp;" организации и управления деятельностью по А.Файолю – отличия для условий дистанционной работы
")</f>
        <v xml:space="preserve">- Главные отличия дистанционной работы. Что мы на самом деле теряем, работая удаленно?
- Организация дистанционной работы: домашний офис. Особенности организации рабочего режима и пространства
- Правила работы на удалении – о чем нужно договориться
- Цикл организации и управления деятельностью по А.Файолю – отличия для условий дистанционной работы
</v>
      </c>
    </row>
    <row r="843" spans="1:4" ht="25.5" x14ac:dyDescent="0.2">
      <c r="A843" s="1"/>
      <c r="B843" s="4" t="str">
        <f ca="1">IFERROR(__xludf.DUMMYFUNCTION("""COMPUTED_VALUE"""),"Антикризисная программа онлайн")</f>
        <v>Антикризисная программа онлайн</v>
      </c>
      <c r="C843" s="4" t="str">
        <f ca="1">IFERROR(__xludf.DUMMYFUNCTION("""COMPUTED_VALUE"""),"Стресс-менеджмент в работе и жизни")</f>
        <v>Стресс-менеджмент в работе и жизни</v>
      </c>
      <c r="D843" s="1" t="str">
        <f ca="1">IFERROR(__xludf.DUMMYFUNCTION("""COMPUTED_VALUE"""),"- Эмоциональное состояние собственника – отражает состояние в команде
- Как быстро вернуть себя в ресурсное состояние?
- Как правильно управлять своим состоянием?
- Что такое эмоциональный интеллект, как его развить и возможно ли?
- Вспомнить: для чего, р"&amp;"ади чего ты создавал свой проект? 
- Как вдохновить свою команду в условиях удаленной работы и неизвестностью?")</f>
        <v>- Эмоциональное состояние собственника – отражает состояние в команде
- Как быстро вернуть себя в ресурсное состояние?
- Как правильно управлять своим состоянием?
- Что такое эмоциональный интеллект, как его развить и возможно ли?
- Вспомнить: для чего, ради чего ты создавал свой проект? 
- Как вдохновить свою команду в условиях удаленной работы и неизвестностью?</v>
      </c>
    </row>
    <row r="844" spans="1:4" ht="12.75" x14ac:dyDescent="0.2">
      <c r="A844" s="1"/>
      <c r="B844" s="4" t="str">
        <f ca="1">IFERROR(__xludf.DUMMYFUNCTION("""COMPUTED_VALUE"""),"Антикризисная программа онлайн")</f>
        <v>Антикризисная программа онлайн</v>
      </c>
      <c r="C844" s="4" t="str">
        <f ca="1">IFERROR(__xludf.DUMMYFUNCTION("""COMPUTED_VALUE"""),"Пиар и маркетинг в кризис")</f>
        <v>Пиар и маркетинг в кризис</v>
      </c>
      <c r="D844" s="1" t="str">
        <f ca="1">IFERROR(__xludf.DUMMYFUNCTION("""COMPUTED_VALUE"""),"- Карта СМИ — зачем она нужна?
- Новость или хайп: как не попасть на удочку ""желтого"" корреспондента и не расстраиваться после неверного выпуска вашего интервью?
- Как правильно спорить с корреспондентами и можно ли это делать?
- Вы — лидер мнений. Что "&amp;"говорим и показываем?
- Пресс-релиз: делаем правильно 
- Как сделать более 700 упоминаний о себе в прессе")</f>
        <v>- Карта СМИ — зачем она нужна?
- Новость или хайп: как не попасть на удочку "желтого" корреспондента и не расстраиваться после неверного выпуска вашего интервью?
- Как правильно спорить с корреспондентами и можно ли это делать?
- Вы — лидер мнений. Что говорим и показываем?
- Пресс-релиз: делаем правильно 
- Как сделать более 700 упоминаний о себе в прессе</v>
      </c>
    </row>
    <row r="845" spans="1:4" ht="12.75" x14ac:dyDescent="0.2">
      <c r="A845" s="1"/>
      <c r="B845" s="4" t="str">
        <f ca="1">IFERROR(__xludf.DUMMYFUNCTION("""COMPUTED_VALUE"""),"Антикризисная программа онлайн")</f>
        <v>Антикризисная программа онлайн</v>
      </c>
      <c r="C845" s="4" t="str">
        <f ca="1">IFERROR(__xludf.DUMMYFUNCTION("""COMPUTED_VALUE"""),"Антикризисные переговоры")</f>
        <v>Антикризисные переговоры</v>
      </c>
      <c r="D845" s="1" t="str">
        <f ca="1">IFERROR(__xludf.DUMMYFUNCTION("""COMPUTED_VALUE"""),"- Как и что можно просить у арендодателей: скидки, рассрочка, каникулы
- Персонал: как удержать команду, которой нечем платить?
- Диалог с поставщиками — как договариваться с контрагентами? Не ухудшая свою репутацию, оптимизировать расходы  
- Что делать "&amp;"во время самоизоляции предпринимателю? Эффективно используем время на благо компании")</f>
        <v>- Как и что можно просить у арендодателей: скидки, рассрочка, каникулы
- Персонал: как удержать команду, которой нечем платить?
- Диалог с поставщиками — как договариваться с контрагентами? Не ухудшая свою репутацию, оптимизировать расходы  
- Что делать во время самоизоляции предпринимателю? Эффективно используем время на благо компании</v>
      </c>
    </row>
    <row r="846" spans="1:4" ht="25.5" x14ac:dyDescent="0.2">
      <c r="A846" s="1"/>
      <c r="B846" s="4" t="str">
        <f ca="1">IFERROR(__xludf.DUMMYFUNCTION("""COMPUTED_VALUE"""),"Антикризисная программа онлайн")</f>
        <v>Антикризисная программа онлайн</v>
      </c>
      <c r="C846" s="4" t="str">
        <f ca="1">IFERROR(__xludf.DUMMYFUNCTION("""COMPUTED_VALUE"""),"Как запустить продвижение в интернете и соцсетях ")</f>
        <v xml:space="preserve">Как запустить продвижение в интернете и соцсетях </v>
      </c>
      <c r="D846" s="1" t="str">
        <f ca="1">IFERROR(__xludf.DUMMYFUNCTION("""COMPUTED_VALUE"""),"- Как выйти в интернет и найти в нем своих потенциальных клиентов 
- Какие каналы и инструменты нужно использовать для быстрого старта 
- Как найти и проанализировать конкурентов
- Как создать контент для соцсетей, который будет привлекать клиентов 
- Вид"&amp;"ео — новый источник заявок в ваш бизнес 
- Стратегия продвижения — последовательность успешного бизнеса и маркетинга ")</f>
        <v xml:space="preserve">- Как выйти в интернет и найти в нем своих потенциальных клиентов 
- Какие каналы и инструменты нужно использовать для быстрого старта 
- Как найти и проанализировать конкурентов
- Как создать контент для соцсетей, который будет привлекать клиентов 
- Видео — новый источник заявок в ваш бизнес 
- Стратегия продвижения — последовательность успешного бизнеса и маркетинга </v>
      </c>
    </row>
    <row r="847" spans="1:4" ht="12.75" x14ac:dyDescent="0.2">
      <c r="A847" s="1"/>
      <c r="B847" s="4" t="str">
        <f ca="1">IFERROR(__xludf.DUMMYFUNCTION("""COMPUTED_VALUE"""),"Антикризисная программа онлайн")</f>
        <v>Антикризисная программа онлайн</v>
      </c>
      <c r="C847" s="4" t="str">
        <f ca="1">IFERROR(__xludf.DUMMYFUNCTION("""COMPUTED_VALUE"""),"Запускаем сайт за один день ")</f>
        <v xml:space="preserve">Запускаем сайт за один день </v>
      </c>
      <c r="D847" s="1" t="str">
        <f ca="1">IFERROR(__xludf.DUMMYFUNCTION("""COMPUTED_VALUE"""),"- Как запустить сайт с помощью конструктора 
- На что обращают внимания пользователи 
- Идеальный первый экран, чтобы пользователь не ушел 
- Как собирать заявки и сразу отправлять их на почту или CRM 
- Разные тематики бизнеса из каталога")</f>
        <v>- Как запустить сайт с помощью конструктора 
- На что обращают внимания пользователи 
- Идеальный первый экран, чтобы пользователь не ушел 
- Как собирать заявки и сразу отправлять их на почту или CRM 
- Разные тематики бизнеса из каталога</v>
      </c>
    </row>
    <row r="848" spans="1:4" ht="25.5" x14ac:dyDescent="0.2">
      <c r="A848" s="1"/>
      <c r="B848" s="4" t="str">
        <f ca="1">IFERROR(__xludf.DUMMYFUNCTION("""COMPUTED_VALUE"""),"Антикризисная программа онлайн")</f>
        <v>Антикризисная программа онлайн</v>
      </c>
      <c r="C848" s="4" t="str">
        <f ca="1">IFERROR(__xludf.DUMMYFUNCTION("""COMPUTED_VALUE"""),"Юридические аспекты во время пандемии")</f>
        <v>Юридические аспекты во время пандемии</v>
      </c>
      <c r="D848" s="1" t="str">
        <f ca="1">IFERROR(__xludf.DUMMYFUNCTION("""COMPUTED_VALUE"""),"- Обзор актуальной судебной практики арбитражных судов по вирусу и карантину
- Законодательное регулирование форс-мажора, доказательственная база, судебная практика 
- Неисполнение текущих обязательств: поставка, аренда, подряд и др., правовые варианты ре"&amp;"шения споров
- Профилактика возникновения конфликтов с контрагентами в связи с невыполнением обязательств
")</f>
        <v xml:space="preserve">- Обзор актуальной судебной практики арбитражных судов по вирусу и карантину
- Законодательное регулирование форс-мажора, доказательственная база, судебная практика 
- Неисполнение текущих обязательств: поставка, аренда, подряд и др., правовые варианты решения споров
- Профилактика возникновения конфликтов с контрагентами в связи с невыполнением обязательств
</v>
      </c>
    </row>
    <row r="849" spans="1:4" ht="25.5" x14ac:dyDescent="0.2">
      <c r="A849" s="1"/>
      <c r="B849" s="4" t="str">
        <f ca="1">IFERROR(__xludf.DUMMYFUNCTION("""COMPUTED_VALUE"""),"Антикризисная программа онлайн")</f>
        <v>Антикризисная программа онлайн</v>
      </c>
      <c r="C849" s="4" t="str">
        <f ca="1">IFERROR(__xludf.DUMMYFUNCTION("""COMPUTED_VALUE"""),"Как лидеру компании удержать команду во время пандемии")</f>
        <v>Как лидеру компании удержать команду во время пандемии</v>
      </c>
      <c r="D849" s="1" t="str">
        <f ca="1">IFERROR(__xludf.DUMMYFUNCTION("""COMPUTED_VALUE"""),"- Отношения к обстоятельствам. Позиция автора
- Построение регулярного менеджмента — ответственность руководителя
- Системный подход к управлению компанией
- ""Смени мундир"". Проектная работа на выявление зон роста в каждом подразделении
- Секреты успешн"&amp;"ых людей от Брайана Трейси. Как это работает?
- Формула Делегирование. Что не подлежит делегированию")</f>
        <v>- Отношения к обстоятельствам. Позиция автора
- Построение регулярного менеджмента — ответственность руководителя
- Системный подход к управлению компанией
- "Смени мундир". Проектная работа на выявление зон роста в каждом подразделении
- Секреты успешных людей от Брайана Трейси. Как это работает?
- Формула Делегирование. Что не подлежит делегированию</v>
      </c>
    </row>
    <row r="850" spans="1:4" ht="25.5" x14ac:dyDescent="0.2">
      <c r="A850" s="1"/>
      <c r="B850" s="4" t="str">
        <f ca="1">IFERROR(__xludf.DUMMYFUNCTION("""COMPUTED_VALUE"""),"Продажи на маркетплейсах онлайн")</f>
        <v>Продажи на маркетплейсах онлайн</v>
      </c>
      <c r="C850" s="4" t="str">
        <f ca="1">IFERROR(__xludf.DUMMYFUNCTION("""COMPUTED_VALUE"""),"Продажи на иностранных маркетплейсах Amazon, Ebay")</f>
        <v>Продажи на иностранных маркетплейсах Amazon, Ebay</v>
      </c>
      <c r="D850" s="1" t="str">
        <f ca="1">IFERROR(__xludf.DUMMYFUNCTION("""COMPUTED_VALUE"""),"- Общее понятие маркетплейсов. Тренды развития e-commerce. Ведение торговли из России
- Маркетплейсы и e-commerce. В чем отличие
- Гайд по крупнейшим американским маркетплейсам: Amazon и Ebay
- Что можно продавать? Категории товаров
- Форматы торговли: dr"&amp;"oppshipping, online arbitrage, private label
- Комиссии, логистика, регистрация")</f>
        <v>- Общее понятие маркетплейсов. Тренды развития e-commerce. Ведение торговли из России
- Маркетплейсы и e-commerce. В чем отличие
- Гайд по крупнейшим американским маркетплейсам: Amazon и Ebay
- Что можно продавать? Категории товаров
- Форматы торговли: droppshipping, online arbitrage, private label
- Комиссии, логистика, регистрация</v>
      </c>
    </row>
    <row r="851" spans="1:4" ht="25.5" x14ac:dyDescent="0.2">
      <c r="A851" s="1"/>
      <c r="B851" s="4" t="str">
        <f ca="1">IFERROR(__xludf.DUMMYFUNCTION("""COMPUTED_VALUE"""),"Продажи на маркетплейсах онлайн")</f>
        <v>Продажи на маркетплейсах онлайн</v>
      </c>
      <c r="C851" s="4" t="str">
        <f ca="1">IFERROR(__xludf.DUMMYFUNCTION("""COMPUTED_VALUE"""),"Продажи на китайских электронных площадках")</f>
        <v>Продажи на китайских электронных площадках</v>
      </c>
      <c r="D851" s="1" t="str">
        <f ca="1">IFERROR(__xludf.DUMMYFUNCTION("""COMPUTED_VALUE"""),"- Основные торговые интернет площадки Китая (B2B агрегаторы, B2C интеграторы и маркетплейсы) 
- Механизм работы китайских торговых интернет-платформ
- Правовое взаимодействие между продавцом, платформой и покупателями
- Психология выбора приобретаемой про"&amp;"дукции китайских потребителей
- Схема расчёта потенциальной прибыли и источники расходов, с целью ответить на вопрос")</f>
        <v>- Основные торговые интернет площадки Китая (B2B агрегаторы, B2C интеграторы и маркетплейсы) 
- Механизм работы китайских торговых интернет-платформ
- Правовое взаимодействие между продавцом, платформой и покупателями
- Психология выбора приобретаемой продукции китайских потребителей
- Схема расчёта потенциальной прибыли и источники расходов, с целью ответить на вопрос</v>
      </c>
    </row>
    <row r="852" spans="1:4" ht="25.5" x14ac:dyDescent="0.2">
      <c r="A852" s="1"/>
      <c r="B852" s="4" t="str">
        <f ca="1">IFERROR(__xludf.DUMMYFUNCTION("""COMPUTED_VALUE"""),"Продажи на маркетплейсах онлайн")</f>
        <v>Продажи на маркетплейсах онлайн</v>
      </c>
      <c r="C852" s="4" t="str">
        <f ca="1">IFERROR(__xludf.DUMMYFUNCTION("""COMPUTED_VALUE"""),"Онлайн-бизнес под ключ")</f>
        <v>Онлайн-бизнес под ключ</v>
      </c>
      <c r="D852" s="1" t="str">
        <f ca="1">IFERROR(__xludf.DUMMYFUNCTION("""COMPUTED_VALUE"""),"- Как найти поставщика
- Как проверить товар на соответствие удаленно
- Особенности международной логистики
- Методы поиска покупателей в онлайне 
- Разбор реальных примеров ")</f>
        <v xml:space="preserve">- Как найти поставщика
- Как проверить товар на соответствие удаленно
- Особенности международной логистики
- Методы поиска покупателей в онлайне 
- Разбор реальных примеров </v>
      </c>
    </row>
    <row r="853" spans="1:4" ht="25.5" x14ac:dyDescent="0.2">
      <c r="A853" s="1"/>
      <c r="B853" s="4" t="str">
        <f ca="1">IFERROR(__xludf.DUMMYFUNCTION("""COMPUTED_VALUE"""),"Продажи на маркетплейсах онлайн")</f>
        <v>Продажи на маркетплейсах онлайн</v>
      </c>
      <c r="C853" s="4" t="str">
        <f ca="1">IFERROR(__xludf.DUMMYFUNCTION("""COMPUTED_VALUE"""),"Онлайн-торговля для handmade бизнеса. Etsy, Livemaster, JUJU")</f>
        <v>Онлайн-торговля для handmade бизнеса. Etsy, Livemaster, JUJU</v>
      </c>
      <c r="D853" s="1" t="str">
        <f ca="1">IFERROR(__xludf.DUMMYFUNCTION("""COMPUTED_VALUE"""),"- Бизнес на handmade - миф или реальность? 
- Тренды handmade на иностранном и российском рынке. Специфика потребительской аудитории handmade
- Гайд по крупнейшим handmade маркетплейсам: Etsy, Livemaster, JUJU
- Регистрация, доставка товара, комиссия плат"&amp;"формы
- Этапы запуска магазина. Основы безбюджетного продвижения")</f>
        <v>- Бизнес на handmade - миф или реальность? 
- Тренды handmade на иностранном и российском рынке. Специфика потребительской аудитории handmade
- Гайд по крупнейшим handmade маркетплейсам: Etsy, Livemaster, JUJU
- Регистрация, доставка товара, комиссия платформы
- Этапы запуска магазина. Основы безбюджетного продвижения</v>
      </c>
    </row>
    <row r="854" spans="1:4" ht="38.25" x14ac:dyDescent="0.2">
      <c r="A854" s="1"/>
      <c r="B854" s="4" t="str">
        <f ca="1">IFERROR(__xludf.DUMMYFUNCTION("""COMPUTED_VALUE"""),"Продажи на маркетплейсах онлайн")</f>
        <v>Продажи на маркетплейсах онлайн</v>
      </c>
      <c r="C854" s="4" t="str">
        <f ca="1">IFERROR(__xludf.DUMMYFUNCTION("""COMPUTED_VALUE"""),"Как запустить продвижение интернет-магазина с помощью соцсетей")</f>
        <v>Как запустить продвижение интернет-магазина с помощью соцсетей</v>
      </c>
      <c r="D854" s="1" t="str">
        <f ca="1">IFERROR(__xludf.DUMMYFUNCTION("""COMPUTED_VALUE"""),"- Особенности оформления соцсетей для интернет-магазинов 
- Создание рубрикатора и контент-плана для продвижения 
- Особенности таргетированной рекламы и методы ее запуска 
- Экспресс-запуск рекламы ВКонтакте на основе интересов и сообществ 
- Экспресс-за"&amp;"пуск рекламы Instagram через приложение для поднятия постов 
- Экспресс-запуск рекламы Facebook на основе интересов и баз ")</f>
        <v xml:space="preserve">- Особенности оформления соцсетей для интернет-магазинов 
- Создание рубрикатора и контент-плана для продвижения 
- Особенности таргетированной рекламы и методы ее запуска 
- Экспресс-запуск рекламы ВКонтакте на основе интересов и сообществ 
- Экспресс-запуск рекламы Instagram через приложение для поднятия постов 
- Экспресс-запуск рекламы Facebook на основе интересов и баз </v>
      </c>
    </row>
    <row r="855" spans="1:4" ht="51" x14ac:dyDescent="0.2">
      <c r="A855" s="1"/>
      <c r="B855" s="4" t="str">
        <f ca="1">IFERROR(__xludf.DUMMYFUNCTION("""COMPUTED_VALUE"""),"Продажи на маркетплейсах онлайн")</f>
        <v>Продажи на маркетплейсах онлайн</v>
      </c>
      <c r="C855" s="4" t="str">
        <f ca="1">IFERROR(__xludf.DUMMYFUNCTION("""COMPUTED_VALUE"""),"Продажи на российских маркетплейсах: Wildberries, Lamoda, Ozon, Яндекс.Покупки, СДЭК маркет, Kazan Express")</f>
        <v>Продажи на российских маркетплейсах: Wildberries, Lamoda, Ozon, Яндекс.Покупки, СДЭК маркет, Kazan Express</v>
      </c>
      <c r="D855" s="1" t="str">
        <f ca="1">IFERROR(__xludf.DUMMYFUNCTION("""COMPUTED_VALUE"""),"- Российские маркетплейсы. Тренды. Масштаб
- Гайд по крупнейшим российским маркетплейсам Wildberries, Lamoda, Ozon, Beru
- Особенности каждого маркетплейса
- Категории товаров на платформах
- Особенности регистрации на платформах. Требования к партнеру
- "&amp;"Выстраиваем логистику ")</f>
        <v xml:space="preserve">- Российские маркетплейсы. Тренды. Масштаб
- Гайд по крупнейшим российским маркетплейсам Wildberries, Lamoda, Ozon, Beru
- Особенности каждого маркетплейса
- Категории товаров на платформах
- Особенности регистрации на платформах. Требования к партнеру
- Выстраиваем логистику </v>
      </c>
    </row>
    <row r="856" spans="1:4" ht="25.5" x14ac:dyDescent="0.2">
      <c r="A856" s="1"/>
      <c r="B856" s="4" t="str">
        <f ca="1">IFERROR(__xludf.DUMMYFUNCTION("""COMPUTED_VALUE"""),"Продажи на маркетплейсах онлайн")</f>
        <v>Продажи на маркетплейсах онлайн</v>
      </c>
      <c r="C856" s="4" t="str">
        <f ca="1">IFERROR(__xludf.DUMMYFUNCTION("""COMPUTED_VALUE"""),"Юридические вопросы в e-commerce: просто о сложном")</f>
        <v>Юридические вопросы в e-commerce: просто о сложном</v>
      </c>
      <c r="D856" s="1" t="str">
        <f ca="1">IFERROR(__xludf.DUMMYFUNCTION("""COMPUTED_VALUE"""),"- Новые возможности и рекомендации юриста перед запуском работы 
- Основные требования маркетплейсов по разрешительным документам 
- Договорные модели маркетплейса: какие виды, как различать и работать
- Выстраивание эффективной работы с поставщиком: сове"&amp;"ты юриста
- Правовые рекомендации при создании собственного интернет-магазина, «дорогие ошибки» в интернет-рекламе")</f>
        <v>- Новые возможности и рекомендации юриста перед запуском работы 
- Основные требования маркетплейсов по разрешительным документам 
- Договорные модели маркетплейса: какие виды, как различать и работать
- Выстраивание эффективной работы с поставщиком: советы юриста
- Правовые рекомендации при создании собственного интернет-магазина, «дорогие ошибки» в интернет-рекламе</v>
      </c>
    </row>
    <row r="857" spans="1:4" ht="25.5" x14ac:dyDescent="0.2">
      <c r="A857" s="1"/>
      <c r="B857" s="4" t="str">
        <f ca="1">IFERROR(__xludf.DUMMYFUNCTION("""COMPUTED_VALUE"""),"Продажи на маркетплейсах онлайн")</f>
        <v>Продажи на маркетплейсах онлайн</v>
      </c>
      <c r="C857" s="4" t="str">
        <f ca="1">IFERROR(__xludf.DUMMYFUNCTION("""COMPUTED_VALUE"""),"Масштабирование интернет-магазинов и точки роста")</f>
        <v>Масштабирование интернет-магазинов и точки роста</v>
      </c>
      <c r="D857" s="1" t="str">
        <f ca="1">IFERROR(__xludf.DUMMYFUNCTION("""COMPUTED_VALUE"""),"- Где искать новые точки роста для интернет-магазина 
- Находим дополнительные источники трафика 
- Как повысить конверсию магазина и проверять гипотезы 
- Практика выхода на зарубежные рынки 
- Управление командой и правильное делегирование задач 
- Поис"&amp;"к подрядчиков и управление коммуникацией ")</f>
        <v xml:space="preserve">- Где искать новые точки роста для интернет-магазина 
- Находим дополнительные источники трафика 
- Как повысить конверсию магазина и проверять гипотезы 
- Практика выхода на зарубежные рынки 
- Управление командой и правильное делегирование задач 
- Поиск подрядчиков и управление коммуникацией </v>
      </c>
    </row>
    <row r="858" spans="1:4" ht="63.75" x14ac:dyDescent="0.2">
      <c r="A858" s="1"/>
      <c r="B858" s="4" t="str">
        <f ca="1">IFERROR(__xludf.DUMMYFUNCTION("""COMPUTED_VALUE"""),"Продажи на маркетплейсах онлайн")</f>
        <v>Продажи на маркетплейсах онлайн</v>
      </c>
      <c r="C858" s="4" t="str">
        <f ca="1">IFERROR(__xludf.DUMMYFUNCTION("""COMPUTED_VALUE"""),"Как российский предприниматель может получить доступ к поставщикам и покупателям через площадки экосистемы Alibaba ")</f>
        <v xml:space="preserve">Как российский предприниматель может получить доступ к поставщикам и покупателям через площадки экосистемы Alibaba </v>
      </c>
      <c r="D858" s="1" t="str">
        <f ca="1">IFERROR(__xludf.DUMMYFUNCTION("""COMPUTED_VALUE"""),"- Alibaba.com новая точка роста для российского B2B сегмента
- Поиск и привлечение новых поставщиков и покупателей на Alibaba.com  
- Aliexpress B2C маркетплейс для продажи по всей России
- Aliexpress vs WB &amp; OZON
- Актуальные меры государственной поддерж"&amp;"ки внутренней и трансграничной интернет торговли")</f>
        <v>- Alibaba.com новая точка роста для российского B2B сегмента
- Поиск и привлечение новых поставщиков и покупателей на Alibaba.com  
- Aliexpress B2C маркетплейс для продажи по всей России
- Aliexpress vs WB &amp; OZON
- Актуальные меры государственной поддержки внутренней и трансграничной интернет торговли</v>
      </c>
    </row>
    <row r="859" spans="1:4" ht="25.5" x14ac:dyDescent="0.2">
      <c r="A859" s="1"/>
      <c r="B859" s="4"/>
      <c r="C859" s="4" t="str">
        <f ca="1">IFERROR(__xludf.DUMMYFUNCTION("""COMPUTED_VALUE"""),"7 шагов для вывода своего товар в ТОП-10 на Wildberries")</f>
        <v>7 шагов для вывода своего товар в ТОП-10 на Wildberries</v>
      </c>
      <c r="D859" s="1" t="str">
        <f ca="1">IFERROR(__xludf.DUMMYFUNCTION("""COMPUTED_VALUE"""),"- Воронка продажи на Wildberries и как на нее влиять
- Как оптимизировать карточку товара, чтобы увеличить охваты?
- Что такое продающий контент и как сделать его просто и быстро?
- Пошаговый план действия для мощного старта на Wildberries с 1-го дня")</f>
        <v>- Воронка продажи на Wildberries и как на нее влиять
- Как оптимизировать карточку товара, чтобы увеличить охваты?
- Что такое продающий контент и как сделать его просто и быстро?
- Пошаговый план действия для мощного старта на Wildberries с 1-го дня</v>
      </c>
    </row>
    <row r="860" spans="1:4" ht="25.5" x14ac:dyDescent="0.2">
      <c r="A860" s="1"/>
      <c r="B860" s="4"/>
      <c r="C860" s="4" t="str">
        <f ca="1">IFERROR(__xludf.DUMMYFUNCTION("""COMPUTED_VALUE"""),"Построение единой Техносистемы для продаж через маркетплейсы")</f>
        <v>Построение единой Техносистемы для продаж через маркетплейсы</v>
      </c>
      <c r="D860" s="1" t="str">
        <f ca="1">IFERROR(__xludf.DUMMYFUNCTION("""COMPUTED_VALUE"""),"- Как и зачем внедрять сквозную аналитику
- Как оцифровывать продажи?
- Как масштабировать бизнес через маркетплейсы? Делаем пошаговый план
- В чем разница между интернет магазином и маркетплейсом? И что выгоднее?")</f>
        <v>- Как и зачем внедрять сквозную аналитику
- Как оцифровывать продажи?
- Как масштабировать бизнес через маркетплейсы? Делаем пошаговый план
- В чем разница между интернет магазином и маркетплейсом? И что выгоднее?</v>
      </c>
    </row>
    <row r="861" spans="1:4" ht="12.75" x14ac:dyDescent="0.2">
      <c r="A861" s="1"/>
      <c r="B861" s="4"/>
      <c r="C861" s="4" t="str">
        <f ca="1">IFERROR(__xludf.DUMMYFUNCTION("""COMPUTED_VALUE"""),"Защита дорожной карты")</f>
        <v>Защита дорожной карты</v>
      </c>
      <c r="D861" s="1" t="str">
        <f ca="1">IFERROR(__xludf.DUMMYFUNCTION("""COMPUTED_VALUE"""),"Презентация дорожных карт участников
Критерии оценивания:
- выбран товар 
- проведен анализ конкурентов
- выбраны 3 торговые площадки
- создано позиционирование товара
- создана карта продвижения на 3-х торговых площадках")</f>
        <v>Презентация дорожных карт участников
Критерии оценивания:
- выбран товар 
- проведен анализ конкурентов
- выбраны 3 торговые площадки
- создано позиционирование товара
- создана карта продвижения на 3-х торговых площадках</v>
      </c>
    </row>
    <row r="862" spans="1:4" ht="51" x14ac:dyDescent="0.2">
      <c r="A862" s="1"/>
      <c r="B862" s="4" t="str">
        <f ca="1">IFERROR(__xludf.DUMMYFUNCTION("""COMPUTED_VALUE"""),"Продажи на маркетплейсах офлайн")</f>
        <v>Продажи на маркетплейсах офлайн</v>
      </c>
      <c r="C862" s="4" t="str">
        <f ca="1">IFERROR(__xludf.DUMMYFUNCTION("""COMPUTED_VALUE"""),"Продажи на иностранных маркетплейсах Amazon, Ebay. Онлайн-торговля для handmade бизнеса. Etsy и Livemaster, JUJU ")</f>
        <v xml:space="preserve">Продажи на иностранных маркетплейсах Amazon, Ebay. Онлайн-торговля для handmade бизнеса. Etsy и Livemaster, JUJU </v>
      </c>
      <c r="D862" s="1" t="str">
        <f ca="1">IFERROR(__xludf.DUMMYFUNCTION("""COMPUTED_VALUE"""),"- Общее понятие маркетплейсов. Тренды развития e-commerce. Ведение торговли из России
- Гайд по крупнейшим американским маркетплейсам: Amazon и Ebay
- Форматы торговли: dropshipping, online arbitrage, private label
- Бизнес на handmade - миф или реальност"&amp;"ь? 
- Тренды handmade на иностранном и российском рынке. Специфика потребительской аудитории handmade
- Гайд по крупнейшим handmade маркетплейсам: Etsy, Livemaster, JUJU")</f>
        <v>- Общее понятие маркетплейсов. Тренды развития e-commerce. Ведение торговли из России
- Гайд по крупнейшим американским маркетплейсам: Amazon и Ebay
- Форматы торговли: dropshipping, online arbitrage, private label
- Бизнес на handmade - миф или реальность? 
- Тренды handmade на иностранном и российском рынке. Специфика потребительской аудитории handmade
- Гайд по крупнейшим handmade маркетплейсам: Etsy, Livemaster, JUJU</v>
      </c>
    </row>
    <row r="863" spans="1:4" ht="25.5" x14ac:dyDescent="0.2">
      <c r="A863" s="1"/>
      <c r="B863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63" s="4" t="str">
        <f ca="1">IFERROR(__xludf.DUMMYFUNCTION("""COMPUTED_VALUE"""),"Выбор ниши или как найти бизнес-идею")</f>
        <v>Выбор ниши или как найти бизнес-идею</v>
      </c>
      <c r="D863" s="1" t="str">
        <f ca="1">IFERROR(__xludf.DUMMYFUNCTION("""COMPUTED_VALUE"""),"-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критериев")</f>
        <v>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</v>
      </c>
    </row>
    <row r="864" spans="1:4" ht="38.25" x14ac:dyDescent="0.2">
      <c r="A864" s="1"/>
      <c r="B864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64" s="4" t="str">
        <f ca="1">IFERROR(__xludf.DUMMYFUNCTION("""COMPUTED_VALUE"""),"Подготовка для старта бизнеса и важные предпринимательские навыки")</f>
        <v>Подготовка для старта бизнеса и важные предпринимательские навыки</v>
      </c>
      <c r="D864" s="1" t="str">
        <f ca="1">IFERROR(__xludf.DUMMYFUNCTION("""COMPUTED_VALUE"""),"- Что такое колесо жизненного баланса
- Где брать деньги на старт
- Какие сотрудники нужны в первую очередь, где их найти и на каких условиях нанимать")</f>
        <v>- Что такое колесо жизненного баланса
- Где брать деньги на старт
- Какие сотрудники нужны в первую очередь, где их найти и на каких условиях нанимать</v>
      </c>
    </row>
    <row r="865" spans="1:4" ht="25.5" x14ac:dyDescent="0.2">
      <c r="A865" s="1"/>
      <c r="B865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65" s="4" t="str">
        <f ca="1">IFERROR(__xludf.DUMMYFUNCTION("""COMPUTED_VALUE"""),"Как создать продающий сайт")</f>
        <v>Как создать продающий сайт</v>
      </c>
      <c r="D865" s="1" t="str">
        <f ca="1">IFERROR(__xludf.DUMMYFUNCTION("""COMPUTED_VALUE"""),"- Как создать сайт самостоятельно и бесплатно
- Какие есть основные типы сайтов
- Процесс создания посадочных страниц
- Как оценить эффективность сайта
- Как сформировать техническое задание для создания сайта")</f>
        <v>- Как создать сайт самостоятельно и бесплатно
- Какие есть основные типы сайтов
- Процесс создания посадочных страниц
- Как оценить эффективность сайта
- Как сформировать техническое задание для создания сайта</v>
      </c>
    </row>
    <row r="866" spans="1:4" ht="25.5" x14ac:dyDescent="0.2">
      <c r="A866" s="1"/>
      <c r="B866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66" s="4" t="str">
        <f ca="1">IFERROR(__xludf.DUMMYFUNCTION("""COMPUTED_VALUE"""),"Что такое маркетинг и ключевые данные в нем")</f>
        <v>Что такое маркетинг и ключевые данные в нем</v>
      </c>
      <c r="D866" s="1" t="str">
        <f ca="1">IFERROR(__xludf.DUMMYFUNCTION("""COMPUTED_VALUE"""),"- Что такое маркетинг и упаковка
- Ключевые показатели в бизнесе: заявки (лиды), средний чек, продажи, конверсия
- Как определить и проанализировать целевую аудиторию
- Как провести анализ конкурентов")</f>
        <v>- Что такое маркетинг и упаковка
- Ключевые показатели в бизнесе: заявки (лиды), средний чек, продажи, конверсия
- Как определить и проанализировать целевую аудиторию
- Как провести анализ конкурентов</v>
      </c>
    </row>
    <row r="867" spans="1:4" ht="51" x14ac:dyDescent="0.2">
      <c r="A867" s="1"/>
      <c r="B867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67" s="4" t="str">
        <f ca="1">IFERROR(__xludf.DUMMYFUNCTION("""COMPUTED_VALUE"""),"Маркетинг: воронка продаж, клиентские ценности. Бесплатные каналы привлечения первых клиентов")</f>
        <v>Маркетинг: воронка продаж, клиентские ценности. Бесплатные каналы привлечения первых клиентов</v>
      </c>
      <c r="D867" s="1" t="str">
        <f ca="1">IFERROR(__xludf.DUMMYFUNCTION("""COMPUTED_VALUE"""),"- Как строить воронку продаж
- Что такое УТП и как его создать
- Какие есть бесплатные каналы и площадки привлечения клиентов")</f>
        <v>- Как строить воронку продаж
- Что такое УТП и как его создать
- Какие есть бесплатные каналы и площадки привлечения клиентов</v>
      </c>
    </row>
    <row r="868" spans="1:4" ht="38.25" x14ac:dyDescent="0.2">
      <c r="A868" s="1"/>
      <c r="B868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68" s="4" t="str">
        <f ca="1">IFERROR(__xludf.DUMMYFUNCTION("""COMPUTED_VALUE"""),"Как вести и использовать социальные сети для привлечения клиентов")</f>
        <v>Как вести и использовать социальные сети для привлечения клиентов</v>
      </c>
      <c r="D868" s="1" t="str">
        <f ca="1">IFERROR(__xludf.DUMMYFUNCTION("""COMPUTED_VALUE"""),"- Аудитория и статистика социальных сетей (VK, Instagram, Facebook)
- Как создать стратегию бренда на основе анализа конкурентов
- Как правильно писать контент для вовлечения аудитории
- Как набрать подписчиков с помощью бесплатных методов: поисковая
опти"&amp;"мизация, коллаборации, партнерство, блоггинг
- Как набрать подписчиков с помощью платной рекламы")</f>
        <v>- Аудитория и статистика социальных сетей (VK, Instagram, Facebook)
- Как создать стратегию бренда на основе анализа конкурентов
- Как правильно писать контент для вовлечения аудитории
- Как набрать подписчиков с помощью бесплатных методов: поисковая
оптимизация, коллаборации, партнерство, блоггинг
- Как набрать подписчиков с помощью платной рекламы</v>
      </c>
    </row>
    <row r="869" spans="1:4" ht="25.5" x14ac:dyDescent="0.2">
      <c r="A869" s="1"/>
      <c r="B869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69" s="4" t="str">
        <f ca="1">IFERROR(__xludf.DUMMYFUNCTION("""COMPUTED_VALUE"""),"Продажи, основные технологии продаж")</f>
        <v>Продажи, основные технологии продаж</v>
      </c>
      <c r="D869" s="1" t="str">
        <f ca="1">IFERROR(__xludf.DUMMYFUNCTION("""COMPUTED_VALUE"""),"- Основные технологии продаж
- Как строить долгосрочные отношения с клиентом
- Как правильно задавать вопросы и какие вопросы нужно задавать
- Правила деловой переписки")</f>
        <v>- Основные технологии продаж
- Как строить долгосрочные отношения с клиентом
- Как правильно задавать вопросы и какие вопросы нужно задавать
- Правила деловой переписки</v>
      </c>
    </row>
    <row r="870" spans="1:4" ht="25.5" x14ac:dyDescent="0.2">
      <c r="A870" s="1"/>
      <c r="B870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0" s="4" t="str">
        <f ca="1">IFERROR(__xludf.DUMMYFUNCTION("""COMPUTED_VALUE"""),"Переговоры, методы ведения переговоров и практика")</f>
        <v>Переговоры, методы ведения переговоров и практика</v>
      </c>
      <c r="D870" s="1" t="str">
        <f ca="1">IFERROR(__xludf.DUMMYFUNCTION("""COMPUTED_VALUE"""),"- Техники работы с возражениями
- Позиционная борьба
- Как грамотно вести телефонные переговоры
- Универсальный скрипт продающего разговора
- Управленческие переговоры")</f>
        <v>- Техники работы с возражениями
- Позиционная борьба
- Как грамотно вести телефонные переговоры
- Универсальный скрипт продающего разговора
- Управленческие переговоры</v>
      </c>
    </row>
    <row r="871" spans="1:4" ht="25.5" x14ac:dyDescent="0.2">
      <c r="A871" s="1"/>
      <c r="B871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1" s="4" t="str">
        <f ca="1">IFERROR(__xludf.DUMMYFUNCTION("""COMPUTED_VALUE"""),"Контекстная и таргетированная реклама")</f>
        <v>Контекстная и таргетированная реклама</v>
      </c>
      <c r="D871" s="1" t="str">
        <f ca="1">IFERROR(__xludf.DUMMYFUNCTION("""COMPUTED_VALUE"""),"- Что такое онлайн-реклама
- В чем разница между контекстной и таргетированной рекламой
- Принципы работы с Yandex Direct, РСЯ, Metrika
- Принципы работы с Google Adwords, КМС")</f>
        <v>- Что такое онлайн-реклама
- В чем разница между контекстной и таргетированной рекламой
- Принципы работы с Yandex Direct, РСЯ, Metrika
- Принципы работы с Google Adwords, КМС</v>
      </c>
    </row>
    <row r="872" spans="1:4" ht="25.5" x14ac:dyDescent="0.2">
      <c r="A872" s="1"/>
      <c r="B872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2" s="4" t="str">
        <f ca="1">IFERROR(__xludf.DUMMYFUNCTION("""COMPUTED_VALUE"""),"Бухгалтерия, налоги и юриспруденция")</f>
        <v>Бухгалтерия, налоги и юриспруденция</v>
      </c>
      <c r="D872" s="1" t="str">
        <f ca="1">IFERROR(__xludf.DUMMYFUNCTION("""COMPUTED_VALUE"""),"- Как выбрать форму собственности и систему налогообложения
- Как зарегистрировать бизнес и открыть счет
- В чем преимущество официального бизнеса
- Выставление счета и эквайринг
- Как платить налоги без бухгалтера с помощью онлайн-сервисов
- Что такое би"&amp;"знес-план и зачем он нужен")</f>
        <v>- Как выбрать форму собственности и систему налогообложения
- Как зарегистрировать бизнес и открыть счет
- В чем преимущество официального бизнеса
- Выставление счета и эквайринг
- Как платить налоги без бухгалтера с помощью онлайн-сервисов
- Что такое бизнес-план и зачем он нужен</v>
      </c>
    </row>
    <row r="873" spans="1:4" ht="25.5" x14ac:dyDescent="0.2">
      <c r="A873" s="1"/>
      <c r="B873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3" s="4" t="str">
        <f ca="1">IFERROR(__xludf.DUMMYFUNCTION("""COMPUTED_VALUE"""),"Привлечение инвестиций в свой стартап")</f>
        <v>Привлечение инвестиций в свой стартап</v>
      </c>
      <c r="D873" s="1" t="str">
        <f ca="1">IFERROR(__xludf.DUMMYFUNCTION("""COMPUTED_VALUE"""),"- Как привлечь инвестиции
- Как найти надежных партнеров
- Как привлечь инвесторов и строить с ними отношения
- Как привлечь гос. поддержку: субсидии, гранты и микрокредитование")</f>
        <v>- Как привлечь инвестиции
- Как найти надежных партнеров
- Как привлечь инвесторов и строить с ними отношения
- Как привлечь гос. поддержку: субсидии, гранты и микрокредитование</v>
      </c>
    </row>
    <row r="874" spans="1:4" ht="25.5" x14ac:dyDescent="0.2">
      <c r="A874" s="1"/>
      <c r="B874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4" s="4" t="str">
        <f ca="1">IFERROR(__xludf.DUMMYFUNCTION("""COMPUTED_VALUE"""),"Публичные выступления и имидж руководителя")</f>
        <v>Публичные выступления и имидж руководителя</v>
      </c>
      <c r="D874" s="1" t="str">
        <f ca="1">IFERROR(__xludf.DUMMYFUNCTION("""COMPUTED_VALUE"""),"- Как подготовиться к деловым переговорам
- Как одеваться, чтобы тебе доверяли
- Зачем и как наводить порядок в своих социальных сетях
- Как вести себя на сцене, чтобы производить нужное впечатление на аудиторию
- Презентация проектов участников")</f>
        <v>- Как подготовиться к деловым переговорам
- Как одеваться, чтобы тебе доверяли
- Зачем и как наводить порядок в своих социальных сетях
- Как вести себя на сцене, чтобы производить нужное впечатление на аудиторию
- Презентация проектов участников</v>
      </c>
    </row>
    <row r="875" spans="1:4" ht="25.5" x14ac:dyDescent="0.2">
      <c r="A875" s="1"/>
      <c r="B875" s="4" t="str">
        <f ca="1">IFERROR(__xludf.DUMMYFUNCTION("""COMPUTED_VALUE"""),"Бизнес-старт для начинающих предпринимателей онлайн")</f>
        <v>Бизнес-старт для начинающих предпринимателей онлайн</v>
      </c>
      <c r="C875" s="4" t="str">
        <f ca="1">IFERROR(__xludf.DUMMYFUNCTION("""COMPUTED_VALUE"""),"Личный бренд предпринимателя")</f>
        <v>Личный бренд предпринимателя</v>
      </c>
      <c r="D875" s="1" t="str">
        <f ca="1">IFERROR(__xludf.DUMMYFUNCTION("""COMPUTED_VALUE"""),"- Что такое личный бренд? 3 типа людей, которые его строят
- Концепция «Путь» или как с нуля построить личный бренд предпринимателю? 
- 3 шага активации личного бренда. Практическое упражнение здесь и сейчас 
- Путь героя или как психофизиология тела опре"&amp;"деляет стратегию построения личного бренда 
- 7 типов вовлекающих сторис от которых невозможно оторваться или почему будут покупать именно у вас")</f>
        <v>- Что такое личный бренд? 3 типа людей, которые его строят
- Концепция «Путь» или как с нуля построить личный бренд предпринимателю? 
- 3 шага активации личного бренда. Практическое упражнение здесь и сейчас 
- Путь героя или как психофизиология тела определяет стратегию построения личного бренда 
- 7 типов вовлекающих сторис от которых невозможно оторваться или почему будут покупать именно у вас</v>
      </c>
    </row>
    <row r="876" spans="1:4" ht="25.5" x14ac:dyDescent="0.2">
      <c r="A876" s="1"/>
      <c r="B876" s="4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76" s="4" t="str">
        <f ca="1">IFERROR(__xludf.DUMMYFUNCTION("""COMPUTED_VALUE"""),"Формула бизнеса. Основа основ")</f>
        <v>Формула бизнеса. Основа основ</v>
      </c>
      <c r="D876" s="1" t="str">
        <f ca="1">IFERROR(__xludf.DUMMYFUNCTION("""COMPUTED_VALUE"""),"-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
- Что такое колесо жизненного баланса
- Где брать деньги на старт
- Какие сотрудники нужны в "&amp;"первую очередь, где их найти и на каких
условиях нанимать")</f>
        <v>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
- Что такое колесо жизненного баланса
- Где брать деньги на старт
- Какие сотрудники нужны в первую очередь, где их найти и на каких
условиях нанимать</v>
      </c>
    </row>
    <row r="877" spans="1:4" ht="38.25" x14ac:dyDescent="0.2">
      <c r="A877" s="1"/>
      <c r="B877" s="4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77" s="4" t="str">
        <f ca="1">IFERROR(__xludf.DUMMYFUNCTION("""COMPUTED_VALUE"""),"Формула бизнеса. Основа основ. Особенности режима для самозанятых")</f>
        <v>Формула бизнеса. Основа основ. Особенности режима для самозанятых</v>
      </c>
      <c r="D877" s="1" t="str">
        <f ca="1">IFERROR(__xludf.DUMMYFUNCTION("""COMPUTED_VALUE"""),"-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
- Что такое колесо жизненного баланса
- Где брать деньги на старт
- Какие сотрудники нужны в "&amp;"первую очередь, где их найти и на каких
условиях нанимать
- Особенности режима для самозанятых")</f>
        <v>- С чего начать выбор ниши
- Как хобби перевести в бизнес
- Как строить бизнес с учетом трендов и моды
- Где и как искать первую бизнес-идею: 7 главных критериев
- Что такое колесо жизненного баланса
- Где брать деньги на старт
- Какие сотрудники нужны в первую очередь, где их найти и на каких
условиях нанимать
- Особенности режима для самозанятых</v>
      </c>
    </row>
    <row r="878" spans="1:4" ht="25.5" x14ac:dyDescent="0.2">
      <c r="A878" s="1"/>
      <c r="B878" s="4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78" s="4" t="str">
        <f ca="1">IFERROR(__xludf.DUMMYFUNCTION("""COMPUTED_VALUE"""),"Как создать продающий сайт")</f>
        <v>Как создать продающий сайт</v>
      </c>
      <c r="D878" s="1" t="str">
        <f ca="1">IFERROR(__xludf.DUMMYFUNCTION("""COMPUTED_VALUE"""),"- Как создать сайт самостоятельно и бесплатно
- Какие есть основные типы сайтов
- Процесс создания посадочных страниц
- Как оценить эффективность сайта
- Как сформировать техническое задание для создания сайта")</f>
        <v>- Как создать сайт самостоятельно и бесплатно
- Какие есть основные типы сайтов
- Процесс создания посадочных страниц
- Как оценить эффективность сайта
- Как сформировать техническое задание для создания сайта</v>
      </c>
    </row>
    <row r="879" spans="1:4" ht="25.5" x14ac:dyDescent="0.2">
      <c r="A879" s="1"/>
      <c r="B879" s="4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79" s="4" t="str">
        <f ca="1">IFERROR(__xludf.DUMMYFUNCTION("""COMPUTED_VALUE"""),"Маркетинг и упаковка бизнеса")</f>
        <v>Маркетинг и упаковка бизнеса</v>
      </c>
      <c r="D879" s="1" t="str">
        <f ca="1">IFERROR(__xludf.DUMMYFUNCTION("""COMPUTED_VALUE"""),"- Что такое маркетинг и упаковка
- Ключевые показатели в бизнесе: заявки (лиды), средний чек, продажи, конверсия
- Как определить и проанализировать целевую аудиторию
- Как провести анализ конкурентов
- Как строить воронку продаж
- Что такое УТП и как его"&amp;" создать
- Какие есть бесплатные каналы и площадки привлечения клиентов")</f>
        <v>- Что такое маркетинг и упаковка
- Ключевые показатели в бизнесе: заявки (лиды), средний чек, продажи, конверсия
- Как определить и проанализировать целевую аудиторию
- Как провести анализ конкурентов
- Как строить воронку продаж
- Что такое УТП и как его создать
- Какие есть бесплатные каналы и площадки привлечения клиентов</v>
      </c>
    </row>
    <row r="880" spans="1:4" ht="38.25" x14ac:dyDescent="0.2">
      <c r="A880" s="1"/>
      <c r="B880" s="4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0" s="4" t="str">
        <f ca="1">IFERROR(__xludf.DUMMYFUNCTION("""COMPUTED_VALUE"""),"Как вести и использовать социальные сети для привлечения клиентов")</f>
        <v>Как вести и использовать социальные сети для привлечения клиентов</v>
      </c>
      <c r="D880" s="1" t="str">
        <f ca="1">IFERROR(__xludf.DUMMYFUNCTION("""COMPUTED_VALUE"""),"- Аудитория и статистика социальных сетей (VK, OK, Facebook)
- Как создать стратегию бренда на основе анализа конкурентов
- Как правильно писать контент для вовлечения аудитории
- Как набрать подписчиков с помощью бесплатных методов: поисковая
оптимизация"&amp;", коллаборации, партнерство, блоггинг
- Как набрать подписчиков с помощью платной рекламы")</f>
        <v>- Аудитория и статистика социальных сетей (VK, OK, Facebook)
- Как создать стратегию бренда на основе анализа конкурентов
- Как правильно писать контент для вовлечения аудитории
- Как набрать подписчиков с помощью бесплатных методов: поисковая
оптимизация, коллаборации, партнерство, блоггинг
- Как набрать подписчиков с помощью платной рекламы</v>
      </c>
    </row>
    <row r="881" spans="1:4" ht="25.5" x14ac:dyDescent="0.2">
      <c r="A881" s="1"/>
      <c r="B881" s="4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1" s="4" t="str">
        <f ca="1">IFERROR(__xludf.DUMMYFUNCTION("""COMPUTED_VALUE"""),"Продажи и переговоры")</f>
        <v>Продажи и переговоры</v>
      </c>
      <c r="D881" s="1" t="str">
        <f ca="1">IFERROR(__xludf.DUMMYFUNCTION("""COMPUTED_VALUE"""),"- Основные технологии продаж
- Как строить долгосрочные отношения с клиентом
- Как правильно задавать вопросы и какие вопросы нужно задавать
- Правила деловой переписки
- Техники работы с возражениями
- Позиционная борьба
- Как грамотно вести телефонные п"&amp;"ереговоры
- Универсальный скрипт продающего разговора
- Управленческие переговоры")</f>
        <v>- Основные технологии продаж
- Как строить долгосрочные отношения с клиентом
- Как правильно задавать вопросы и какие вопросы нужно задавать
- Правила деловой переписки
- Техники работы с возражениями
- Позиционная борьба
- Как грамотно вести телефонные переговоры
- Универсальный скрипт продающего разговора
- Управленческие переговоры</v>
      </c>
    </row>
    <row r="882" spans="1:4" ht="25.5" x14ac:dyDescent="0.2">
      <c r="A882" s="1"/>
      <c r="B882" s="4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2" s="4" t="str">
        <f ca="1">IFERROR(__xludf.DUMMYFUNCTION("""COMPUTED_VALUE"""),"Контекстная и таргетированная реклама")</f>
        <v>Контекстная и таргетированная реклама</v>
      </c>
      <c r="D882" s="1" t="str">
        <f ca="1">IFERROR(__xludf.DUMMYFUNCTION("""COMPUTED_VALUE"""),"- Что такое онлайн-реклама
- В чем разница между контекстной и таргетированной рекламой
- Принципы работы с Yandex Direct, РСЯ, Metrika
- Принципы работы с Google Adwords, КМС")</f>
        <v>- Что такое онлайн-реклама
- В чем разница между контекстной и таргетированной рекламой
- Принципы работы с Yandex Direct, РСЯ, Metrika
- Принципы работы с Google Adwords, КМС</v>
      </c>
    </row>
    <row r="883" spans="1:4" ht="38.25" x14ac:dyDescent="0.2">
      <c r="A883" s="1"/>
      <c r="B883" s="4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3" s="4" t="str">
        <f ca="1">IFERROR(__xludf.DUMMYFUNCTION("""COMPUTED_VALUE"""),"Бухгалтерия, налоги и юриспруденция. Как защитить свою компанию на старте?")</f>
        <v>Бухгалтерия, налоги и юриспруденция. Как защитить свою компанию на старте?</v>
      </c>
      <c r="D883" s="1" t="str">
        <f ca="1">IFERROR(__xludf.DUMMYFUNCTION("""COMPUTED_VALUE"""),"- Как выбрать форму собственности и систему налогообложения
- Как зарегистрировать бизнес и открыть счет
- В чем преимущество официального бизнеса
- Выставление счета и эквайринг
- Как платить налоги без бухгалтера с помощью онлайн-сервисов
- Что такое би"&amp;"знес-план и зачем он нужен")</f>
        <v>- Как выбрать форму собственности и систему налогообложения
- Как зарегистрировать бизнес и открыть счет
- В чем преимущество официального бизнеса
- Выставление счета и эквайринг
- Как платить налоги без бухгалтера с помощью онлайн-сервисов
- Что такое бизнес-план и зачем он нужен</v>
      </c>
    </row>
    <row r="884" spans="1:4" ht="25.5" x14ac:dyDescent="0.2">
      <c r="A884" s="1"/>
      <c r="B884" s="4" t="str">
        <f ca="1">IFERROR(__xludf.DUMMYFUNCTION("""COMPUTED_VALUE"""),"Бизнес-старт для начинающих предпринимателей офлайн")</f>
        <v>Бизнес-старт для начинающих предпринимателей офлайн</v>
      </c>
      <c r="C884" s="4" t="str">
        <f ca="1">IFERROR(__xludf.DUMMYFUNCTION("""COMPUTED_VALUE"""),"Как привлечь ресурсы в бизнес")</f>
        <v>Как привлечь ресурсы в бизнес</v>
      </c>
      <c r="D884" s="1" t="str">
        <f ca="1">IFERROR(__xludf.DUMMYFUNCTION("""COMPUTED_VALUE"""),"- Как привлечь инвестиции
- Как найти надежных партнеров
- Как привлечь инвесторов и строить с ними отношения
- Как подготовиться к деловым переговорам
- Зачем и как наводить порядок в своих социальных сетях
- Как вести себя на сцене, чтобы производить ну"&amp;"жное впечатление на аудиторию
- Презентация проектов участников")</f>
        <v>- Как привлечь инвестиции
- Как найти надежных партнеров
- Как привлечь инвесторов и строить с ними отношения
- Как подготовиться к деловым переговорам
- Зачем и как наводить порядок в своих социальных сетях
- Как вести себя на сцене, чтобы производить нужное впечатление на аудиторию
- Презентация проектов участников</v>
      </c>
    </row>
    <row r="885" spans="1:4" ht="25.5" x14ac:dyDescent="0.2">
      <c r="A885" s="1"/>
      <c r="B885" s="4" t="str">
        <f ca="1">IFERROR(__xludf.DUMMYFUNCTION("""COMPUTED_VALUE"""),"Управление финансами в бизнесе онлайн")</f>
        <v>Управление финансами в бизнесе онлайн</v>
      </c>
      <c r="C885" s="4" t="str">
        <f ca="1">IFERROR(__xludf.DUMMYFUNCTION("""COMPUTED_VALUE"""),"Основы финансовой грамотности предпринимателя")</f>
        <v>Основы финансовой грамотности предпринимателя</v>
      </c>
      <c r="D885" s="1" t="str">
        <f ca="1">IFERROR(__xludf.DUMMYFUNCTION("""COMPUTED_VALUE"""),"- Что такое управления финансами в компании и какова роль собственника и генерального директора
- Какие бывают варианты финансирования бизнеса 
- Какая разница между финансовой стратегией, финансовым планом и бюджетом
- Как правильно сделать прогноз доход"&amp;"ов и расходов
- Как составить финансовый план
- Что такое период окупаемости
- Критерии финансово успешной компании ")</f>
        <v xml:space="preserve">- Что такое управления финансами в компании и какова роль собственника и генерального директора
- Какие бывают варианты финансирования бизнеса 
- Какая разница между финансовой стратегией, финансовым планом и бюджетом
- Как правильно сделать прогноз доходов и расходов
- Как составить финансовый план
- Что такое период окупаемости
- Критерии финансово успешной компании </v>
      </c>
    </row>
    <row r="886" spans="1:4" ht="25.5" x14ac:dyDescent="0.2">
      <c r="A886" s="1"/>
      <c r="B886" s="4" t="str">
        <f ca="1">IFERROR(__xludf.DUMMYFUNCTION("""COMPUTED_VALUE"""),"Управление финансами в бизнесе онлайн")</f>
        <v>Управление финансами в бизнесе онлайн</v>
      </c>
      <c r="C886" s="4" t="str">
        <f ca="1">IFERROR(__xludf.DUMMYFUNCTION("""COMPUTED_VALUE"""),"Финансовая система и отчетность в компании")</f>
        <v>Финансовая система и отчетность в компании</v>
      </c>
      <c r="D886" s="1" t="str">
        <f ca="1">IFERROR(__xludf.DUMMYFUNCTION("""COMPUTED_VALUE"""),"- Финансовая система для бизнеса (стартап, малый, средний)
- Алгоритм наведения ""порядка"" в финансах
- Три основные отчеты компании (P &amp; L, Cash Flow, Balance Sheet)
- Как и где брать информацию для отчетов")</f>
        <v>- Финансовая система для бизнеса (стартап, малый, средний)
- Алгоритм наведения "порядка" в финансах
- Три основные отчеты компании (P &amp; L, Cash Flow, Balance Sheet)
- Как и где брать информацию для отчетов</v>
      </c>
    </row>
    <row r="887" spans="1:4" ht="51" x14ac:dyDescent="0.2">
      <c r="A887" s="1"/>
      <c r="B887" s="4" t="str">
        <f ca="1">IFERROR(__xludf.DUMMYFUNCTION("""COMPUTED_VALUE"""),"Управление финансами в бизнесе онлайн")</f>
        <v>Управление финансами в бизнесе онлайн</v>
      </c>
      <c r="C887" s="4" t="str">
        <f ca="1">IFERROR(__xludf.DUMMYFUNCTION("""COMPUTED_VALUE"""),"Основные показатели — себестоимость, ценообразование, рентабельность и кредитные инструменты")</f>
        <v>Основные показатели — себестоимость, ценообразование, рентабельность и кредитные инструменты</v>
      </c>
      <c r="D887" s="1" t="str">
        <f ca="1">IFERROR(__xludf.DUMMYFUNCTION("""COMPUTED_VALUE"""),"- Государственное регулирование цен
- Состав цены по элементам
- Доход предприятия, методика его расчета 
- Прибыль предприятия, ее виды. Планирование прибыли, расчет налогов из прибыли
- Рентабельность как экономическая категория, ее виды. Методика расче"&amp;"та показателей рентабельности
- Кредиты")</f>
        <v>- Государственное регулирование цен
- Состав цены по элементам
- Доход предприятия, методика его расчета 
- Прибыль предприятия, ее виды. Планирование прибыли, расчет налогов из прибыли
- Рентабельность как экономическая категория, ее виды. Методика расчета показателей рентабельности
- Кредиты</v>
      </c>
    </row>
    <row r="888" spans="1:4" ht="25.5" x14ac:dyDescent="0.2">
      <c r="A888" s="1"/>
      <c r="B888" s="4" t="str">
        <f ca="1">IFERROR(__xludf.DUMMYFUNCTION("""COMPUTED_VALUE"""),"Управление финансами в бизнесе онлайн")</f>
        <v>Управление финансами в бизнесе онлайн</v>
      </c>
      <c r="C888" s="4" t="str">
        <f ca="1">IFERROR(__xludf.DUMMYFUNCTION("""COMPUTED_VALUE"""),"Отчет Cash Flow. Как и зачем его вести")</f>
        <v>Отчет Cash Flow. Как и зачем его вести</v>
      </c>
      <c r="D888" s="1" t="str">
        <f ca="1">IFERROR(__xludf.DUMMYFUNCTION("""COMPUTED_VALUE"""),"- Отчет cash flow, кто должен вести, кейсы
- Как избежать кассовых разрывов                               
- Способы выхода из кассового разрыва
- Как эффективно управлять средствами компании
- Платежный календарь ")</f>
        <v xml:space="preserve">- Отчет cash flow, кто должен вести, кейсы
- Как избежать кассовых разрывов                               
- Способы выхода из кассового разрыва
- Как эффективно управлять средствами компании
- Платежный календарь </v>
      </c>
    </row>
    <row r="889" spans="1:4" ht="38.25" x14ac:dyDescent="0.2">
      <c r="A889" s="1"/>
      <c r="B889" s="4" t="str">
        <f ca="1">IFERROR(__xludf.DUMMYFUNCTION("""COMPUTED_VALUE"""),"Управление финансами в бизнесе онлайн")</f>
        <v>Управление финансами в бизнесе онлайн</v>
      </c>
      <c r="C889" s="4" t="str">
        <f ca="1">IFERROR(__xludf.DUMMYFUNCTION("""COMPUTED_VALUE"""),"Отчет P &amp; L. Как его анализировать, чтобы эффективно управлять компанией")</f>
        <v>Отчет P &amp; L. Как его анализировать, чтобы эффективно управлять компанией</v>
      </c>
      <c r="D889" s="1" t="str">
        <f ca="1">IFERROR(__xludf.DUMMYFUNCTION("""COMPUTED_VALUE"""),"- Что такое прибыль компании и как ее правильно считать
- Отчет P&amp;L  
- Постоянные и переменные расходы 
- Амортизация
- Как считать доходность компании
- Как и когда распределять дивиденды 
- Разбор примеров  ")</f>
        <v xml:space="preserve">- Что такое прибыль компании и как ее правильно считать
- Отчет P&amp;L  
- Постоянные и переменные расходы 
- Амортизация
- Как считать доходность компании
- Как и когда распределять дивиденды 
- Разбор примеров  </v>
      </c>
    </row>
    <row r="890" spans="1:4" ht="25.5" x14ac:dyDescent="0.2">
      <c r="A890" s="1"/>
      <c r="B890" s="4" t="str">
        <f ca="1">IFERROR(__xludf.DUMMYFUNCTION("""COMPUTED_VALUE"""),"Управление финансами в бизнесе онлайн")</f>
        <v>Управление финансами в бизнесе онлайн</v>
      </c>
      <c r="C890" s="4" t="str">
        <f ca="1">IFERROR(__xludf.DUMMYFUNCTION("""COMPUTED_VALUE"""),"Управленческий баланс и оборотный капитал")</f>
        <v>Управленческий баланс и оборотный капитал</v>
      </c>
      <c r="D890" s="1" t="str">
        <f ca="1">IFERROR(__xludf.DUMMYFUNCTION("""COMPUTED_VALUE"""),"- Активы, пассивы и собственный капитал компании
- Что предпринимателю нужно понимать с баланса
- Что такое оборотный капитал компании и как его считать 
- Разбор примеров")</f>
        <v>- Активы, пассивы и собственный капитал компании
- Что предпринимателю нужно понимать с баланса
- Что такое оборотный капитал компании и как его считать 
- Разбор примеров</v>
      </c>
    </row>
    <row r="891" spans="1:4" ht="38.25" x14ac:dyDescent="0.2">
      <c r="A891" s="1"/>
      <c r="B891" s="4" t="str">
        <f ca="1">IFERROR(__xludf.DUMMYFUNCTION("""COMPUTED_VALUE"""),"Управление финансами в бизнесе онлайн")</f>
        <v>Управление финансами в бизнесе онлайн</v>
      </c>
      <c r="C891" s="4" t="str">
        <f ca="1">IFERROR(__xludf.DUMMYFUNCTION("""COMPUTED_VALUE"""),"Обучение эффективной работе с электронными таблицами (Excel / Google) и другие инструменты")</f>
        <v>Обучение эффективной работе с электронными таблицами (Excel / Google) и другие инструменты</v>
      </c>
      <c r="D891" s="1" t="str">
        <f ca="1">IFERROR(__xludf.DUMMYFUNCTION("""COMPUTED_VALUE"""),"- Основы отчётности, возможности таблиц
- Этапы внедрения и ключевые требования к процессу внедрения таблиц отчётности
- Минимизация управленческих и технологических рисков
- Структура проектной команды
- Основные ошибки интеграции
- Кейсы: ДДС, ОПиУ, Бал"&amp;"анс, Отчёт менеджера")</f>
        <v>- Основы отчётности, возможности таблиц
- Этапы внедрения и ключевые требования к процессу внедрения таблиц отчётности
- Минимизация управленческих и технологических рисков
- Структура проектной команды
- Основные ошибки интеграции
- Кейсы: ДДС, ОПиУ, Баланс, Отчёт менеджера</v>
      </c>
    </row>
    <row r="892" spans="1:4" ht="25.5" x14ac:dyDescent="0.2">
      <c r="A892" s="1"/>
      <c r="B892" s="4" t="str">
        <f ca="1">IFERROR(__xludf.DUMMYFUNCTION("""COMPUTED_VALUE"""),"Управление финансами в бизнесе онлайн")</f>
        <v>Управление финансами в бизнесе онлайн</v>
      </c>
      <c r="C892" s="4" t="str">
        <f ca="1">IFERROR(__xludf.DUMMYFUNCTION("""COMPUTED_VALUE"""),"Бухгалтерия и налоги. Коротко о главном")</f>
        <v>Бухгалтерия и налоги. Коротко о главном</v>
      </c>
      <c r="D892" s="1" t="str">
        <f ca="1">IFERROR(__xludf.DUMMYFUNCTION("""COMPUTED_VALUE"""),"- Как безопаснее и выгоднее работать — через ООО или ИП 
- Системы налогообложения, как выбрать наиболее подходящую. Разбор кейсов
- Оформление сотрудников, работа с удаленными командами  ")</f>
        <v xml:space="preserve">- Как безопаснее и выгоднее работать — через ООО или ИП 
- Системы налогообложения, как выбрать наиболее подходящую. Разбор кейсов
- Оформление сотрудников, работа с удаленными командами  </v>
      </c>
    </row>
    <row r="893" spans="1:4" ht="25.5" x14ac:dyDescent="0.2">
      <c r="A893" s="1"/>
      <c r="B893" s="4" t="str">
        <f ca="1">IFERROR(__xludf.DUMMYFUNCTION("""COMPUTED_VALUE"""),"Управление финансами в бизнесе онлайн")</f>
        <v>Управление финансами в бизнесе онлайн</v>
      </c>
      <c r="C893" s="4" t="str">
        <f ca="1">IFERROR(__xludf.DUMMYFUNCTION("""COMPUTED_VALUE"""),"Как подготовить в Excel бизнес-план для привлечения инвестиций")</f>
        <v>Как подготовить в Excel бизнес-план для привлечения инвестиций</v>
      </c>
      <c r="D893" s="1" t="str">
        <f ca="1">IFERROR(__xludf.DUMMYFUNCTION("""COMPUTED_VALUE"""),"- Логика и структура подготовки бизнес-плана 
- Список метрик для построения бизнес-плана 
- Взаимосвязь показателей и как отобразить их с помощью формул в excel 
- Unit экономика — связь между метриками через формулы     ")</f>
        <v xml:space="preserve">- Логика и структура подготовки бизнес-плана 
- Список метрик для построения бизнес-плана 
- Взаимосвязь показателей и как отобразить их с помощью формул в excel 
- Unit экономика — связь между метриками через формулы     </v>
      </c>
    </row>
    <row r="894" spans="1:4" ht="38.25" x14ac:dyDescent="0.2">
      <c r="A894" s="1"/>
      <c r="B894" s="4" t="str">
        <f ca="1">IFERROR(__xludf.DUMMYFUNCTION("""COMPUTED_VALUE"""),"Управление финансами в бизнесе онлайн")</f>
        <v>Управление финансами в бизнесе онлайн</v>
      </c>
      <c r="C894" s="4" t="str">
        <f ca="1">IFERROR(__xludf.DUMMYFUNCTION("""COMPUTED_VALUE"""),"
Управление компанией на основании цифр")</f>
        <v xml:space="preserve">
Управление компанией на основании цифр</v>
      </c>
      <c r="D894" s="1" t="str">
        <f ca="1">IFERROR(__xludf.DUMMYFUNCTION("""COMPUTED_VALUE"""),"- Важные финансовые показатели для постоянного контроля
- Сколько времени нужно на финансовое управление, варианты оптимизации
- Индивидуальный dashboard для управления компанией
- Как принимать решение используя финансовые данные
- Доходность компании, д"&amp;"олгосрочная стратегия")</f>
        <v>- Важные финансовые показатели для постоянного контроля
- Сколько времени нужно на финансовое управление, варианты оптимизации
- Индивидуальный dashboard для управления компанией
- Как принимать решение используя финансовые данные
- Доходность компании, долгосрочная стратегия</v>
      </c>
    </row>
    <row r="895" spans="1:4" ht="12.75" x14ac:dyDescent="0.2">
      <c r="A895" s="1"/>
      <c r="B895" s="4" t="str">
        <f ca="1">IFERROR(__xludf.DUMMYFUNCTION("""COMPUTED_VALUE"""),"Франчайзинг от А до Я онлайн")</f>
        <v>Франчайзинг от А до Я онлайн</v>
      </c>
      <c r="C895" s="4" t="str">
        <f ca="1">IFERROR(__xludf.DUMMYFUNCTION("""COMPUTED_VALUE"""),"Основы франчайзинга")</f>
        <v>Основы франчайзинга</v>
      </c>
      <c r="D895" s="1" t="str">
        <f ca="1">IFERROR(__xludf.DUMMYFUNCTION("""COMPUTED_VALUE"""),"- Основные понятие франчайзинга: роялти, паушальный взнос, концессия 
- Франчайзинг как передовой способ масштабирования 
- Обзор российского рынка франшиз. Разбор кейсов
- Виды франшиз
- Как понять, нужна вам франшиза или нет? ")</f>
        <v xml:space="preserve">- Основные понятие франчайзинга: роялти, паушальный взнос, концессия 
- Франчайзинг как передовой способ масштабирования 
- Обзор российского рынка франшиз. Разбор кейсов
- Виды франшиз
- Как понять, нужна вам франшиза или нет? </v>
      </c>
    </row>
    <row r="896" spans="1:4" ht="25.5" x14ac:dyDescent="0.2">
      <c r="A896" s="1"/>
      <c r="B896" s="4" t="str">
        <f ca="1">IFERROR(__xludf.DUMMYFUNCTION("""COMPUTED_VALUE"""),"Франчайзинг от А до Я онлайн")</f>
        <v>Франчайзинг от А до Я онлайн</v>
      </c>
      <c r="C896" s="4" t="str">
        <f ca="1">IFERROR(__xludf.DUMMYFUNCTION("""COMPUTED_VALUE"""),"Подготовка к запуску своей франшизы. Бизнес-бук")</f>
        <v>Подготовка к запуску своей франшизы. Бизнес-бук</v>
      </c>
      <c r="D896" s="1" t="str">
        <f ca="1">IFERROR(__xludf.DUMMYFUNCTION("""COMPUTED_VALUE"""),"- Состав франчайзингового пакета
Договор, брендбук, стандарты и регламенты
- Финансовая модель франшизы, презентация 
- Товарный знак, команда запуска, методика оценки локаций 
- Сопровождение, CRM - система 
- Чек-лист готовности бизнеса к упаковке")</f>
        <v>- Состав франчайзингового пакета
Договор, брендбук, стандарты и регламенты
- Финансовая модель франшизы, презентация 
- Товарный знак, команда запуска, методика оценки локаций 
- Сопровождение, CRM - система 
- Чек-лист готовности бизнеса к упаковке</v>
      </c>
    </row>
    <row r="897" spans="1:4" ht="25.5" x14ac:dyDescent="0.2">
      <c r="A897" s="1"/>
      <c r="B897" s="4" t="str">
        <f ca="1">IFERROR(__xludf.DUMMYFUNCTION("""COMPUTED_VALUE"""),"Франчайзинг от А до Я онлайн")</f>
        <v>Франчайзинг от А до Я онлайн</v>
      </c>
      <c r="C897" s="4" t="str">
        <f ca="1">IFERROR(__xludf.DUMMYFUNCTION("""COMPUTED_VALUE"""),"Юридические основы и проблемы во франчайзинге")</f>
        <v>Юридические основы и проблемы во франчайзинге</v>
      </c>
      <c r="D897" s="1" t="str">
        <f ca="1">IFERROR(__xludf.DUMMYFUNCTION("""COMPUTED_VALUE"""),"- Виды договоров. Коммерческая концессия или лицензионный договор? 
- Понятие предметов интеллектуальной собственности
- Как оценить договор франшизы и не ошибиться? 
- Как и где регистрировать товарный знак? 
- Выход на международные рынки. Разбор ошибок"&amp;"
- Конфликтные ситуации, возникающие между франчайзерами и франчайзи, и пути их решения
")</f>
        <v xml:space="preserve">- Виды договоров. Коммерческая концессия или лицензионный договор? 
- Понятие предметов интеллектуальной собственности
- Как оценить договор франшизы и не ошибиться? 
- Как и где регистрировать товарный знак? 
- Выход на международные рынки. Разбор ошибок
- Конфликтные ситуации, возникающие между франчайзерами и франчайзи, и пути их решения
</v>
      </c>
    </row>
    <row r="898" spans="1:4" ht="25.5" x14ac:dyDescent="0.2">
      <c r="A898" s="1"/>
      <c r="B898" s="4" t="str">
        <f ca="1">IFERROR(__xludf.DUMMYFUNCTION("""COMPUTED_VALUE"""),"Франчайзинг от А до Я онлайн")</f>
        <v>Франчайзинг от А до Я онлайн</v>
      </c>
      <c r="C898" s="4" t="str">
        <f ca="1">IFERROR(__xludf.DUMMYFUNCTION("""COMPUTED_VALUE"""),"Финансовая модель. Что это? Как оценить?")</f>
        <v>Финансовая модель. Что это? Как оценить?</v>
      </c>
      <c r="D898" s="1" t="str">
        <f ca="1">IFERROR(__xludf.DUMMYFUNCTION("""COMPUTED_VALUE"""),"- Цели и задачи финансовой модели
- Критерии оценки финансовой модели
- Как оценить финансовую модель. Опорные точки
- Какие вопросы задать франчайзеру для проверки финансовой модели? 
- Оценка возврата инвестиций от покупки франшизы")</f>
        <v>- Цели и задачи финансовой модели
- Критерии оценки финансовой модели
- Как оценить финансовую модель. Опорные точки
- Какие вопросы задать франчайзеру для проверки финансовой модели? 
- Оценка возврата инвестиций от покупки франшизы</v>
      </c>
    </row>
    <row r="899" spans="1:4" ht="38.25" x14ac:dyDescent="0.2">
      <c r="A899" s="1"/>
      <c r="B899" s="4" t="str">
        <f ca="1">IFERROR(__xludf.DUMMYFUNCTION("""COMPUTED_VALUE"""),"Франчайзинг от А до Я онлайн")</f>
        <v>Франчайзинг от А до Я онлайн</v>
      </c>
      <c r="C899" s="4" t="str">
        <f ca="1">IFERROR(__xludf.DUMMYFUNCTION("""COMPUTED_VALUE"""),"Концепция и стратегия франшизы. На чем можно зарабатывать и как будете удерживать франчайзинг")</f>
        <v>Концепция и стратегия франшизы. На чем можно зарабатывать и как будете удерживать франчайзинг</v>
      </c>
      <c r="D899" s="1" t="str">
        <f ca="1">IFERROR(__xludf.DUMMYFUNCTION("""COMPUTED_VALUE"""),"- Как определить размер паушального взноса и роялти. Экономика франшиз
- Какие меры поддержки оказывать для франчайзи и какие нет
- Выбор ниши для масштабирования по франчайзингу
- План развития франшизы")</f>
        <v>- Как определить размер паушального взноса и роялти. Экономика франшиз
- Какие меры поддержки оказывать для франчайзи и какие нет
- Выбор ниши для масштабирования по франчайзингу
- План развития франшизы</v>
      </c>
    </row>
    <row r="900" spans="1:4" ht="12.75" x14ac:dyDescent="0.2">
      <c r="A900" s="1"/>
      <c r="B900" s="4" t="str">
        <f ca="1">IFERROR(__xludf.DUMMYFUNCTION("""COMPUTED_VALUE"""),"Франчайзинг от А до Я онлайн")</f>
        <v>Франчайзинг от А до Я онлайн</v>
      </c>
      <c r="C900" s="4" t="str">
        <f ca="1">IFERROR(__xludf.DUMMYFUNCTION("""COMPUTED_VALUE"""),"Бизнес-процессы во франшизе")</f>
        <v>Бизнес-процессы во франшизе</v>
      </c>
      <c r="D900" s="1" t="str">
        <f ca="1">IFERROR(__xludf.DUMMYFUNCTION("""COMPUTED_VALUE"""),"- Что такое бизнес-процесс? 
- Как описать бизнес-процессы?
- Практическое упражнение на составление mindmap процессов вашей компании
- Автоматизация бизнес-процессов во франшизе")</f>
        <v>- Что такое бизнес-процесс? 
- Как описать бизнес-процессы?
- Практическое упражнение на составление mindmap процессов вашей компании
- Автоматизация бизнес-процессов во франшизе</v>
      </c>
    </row>
    <row r="901" spans="1:4" ht="38.25" x14ac:dyDescent="0.2">
      <c r="A901" s="1"/>
      <c r="B901" s="4" t="str">
        <f ca="1">IFERROR(__xludf.DUMMYFUNCTION("""COMPUTED_VALUE"""),"Франчайзинг от А до Я онлайн")</f>
        <v>Франчайзинг от А до Я онлайн</v>
      </c>
      <c r="C901" s="4" t="str">
        <f ca="1">IFERROR(__xludf.DUMMYFUNCTION("""COMPUTED_VALUE"""),"Построение команды мечты для упаковки и управления франшизой")</f>
        <v>Построение команды мечты для упаковки и управления франшизой</v>
      </c>
      <c r="D901" s="1" t="str">
        <f ca="1">IFERROR(__xludf.DUMMYFUNCTION("""COMPUTED_VALUE"""),"- Как минимизировать риски и расходы? Временная и постоянная команда    
- Поэтапное построение команды. С чего надо начинать? 
- Структура и функции управляющей компании?
- Нематериальная мотивация. Как внедрять ценности в команду? 
- Найм, адаптация, мо"&amp;"тивация персонала УК
- Управление командой и формы взаимодействия УК с франчайзи")</f>
        <v>- Как минимизировать риски и расходы? Временная и постоянная команда    
- Поэтапное построение команды. С чего надо начинать? 
- Структура и функции управляющей компании?
- Нематериальная мотивация. Как внедрять ценности в команду? 
- Найм, адаптация, мотивация персонала УК
- Управление командой и формы взаимодействия УК с франчайзи</v>
      </c>
    </row>
    <row r="902" spans="1:4" ht="25.5" x14ac:dyDescent="0.2">
      <c r="A902" s="1"/>
      <c r="B902" s="4" t="str">
        <f ca="1">IFERROR(__xludf.DUMMYFUNCTION("""COMPUTED_VALUE"""),"Франчайзинг от А до Я онлайн")</f>
        <v>Франчайзинг от А до Я онлайн</v>
      </c>
      <c r="C902" s="4" t="str">
        <f ca="1">IFERROR(__xludf.DUMMYFUNCTION("""COMPUTED_VALUE"""),"Комплексный брендинг и маркетинг во франчайзинге")</f>
        <v>Комплексный брендинг и маркетинг во франчайзинге</v>
      </c>
      <c r="D902" s="1" t="str">
        <f ca="1">IFERROR(__xludf.DUMMYFUNCTION("""COMPUTED_VALUE"""),"- Аналитика: рынок, аудитория и конкуренты
- Маркетинговая стратегия продвижения, что это и как она различается для разных ролей во франчайзинге
- Комплексная реклама и медиапланирование для сеток. Кто за что отвечает? 
- Брендбук. Зачем он нужен и как с "&amp;"ним работать правильно? 
- Продающий маркетинг-кит
- Бренд. Защита от кражи и обмана! ")</f>
        <v xml:space="preserve">- Аналитика: рынок, аудитория и конкуренты
- Маркетинговая стратегия продвижения, что это и как она различается для разных ролей во франчайзинге
- Комплексная реклама и медиапланирование для сеток. Кто за что отвечает? 
- Брендбук. Зачем он нужен и как с ним работать правильно? 
- Продающий маркетинг-кит
- Бренд. Защита от кражи и обмана! </v>
      </c>
    </row>
    <row r="903" spans="1:4" ht="38.25" x14ac:dyDescent="0.2">
      <c r="A903" s="1"/>
      <c r="B903" s="4" t="str">
        <f ca="1">IFERROR(__xludf.DUMMYFUNCTION("""COMPUTED_VALUE"""),"Франчайзинг от А до Я онлайн")</f>
        <v>Франчайзинг от А до Я онлайн</v>
      </c>
      <c r="C903" s="4" t="str">
        <f ca="1">IFERROR(__xludf.DUMMYFUNCTION("""COMPUTED_VALUE"""),"Как продавать франшизу? Скрипты, воронки, CRM, каналы продвижения")</f>
        <v>Как продавать франшизу? Скрипты, воронки, CRM, каналы продвижения</v>
      </c>
      <c r="D903" s="1" t="str">
        <f ca="1">IFERROR(__xludf.DUMMYFUNCTION("""COMPUTED_VALUE"""),"- Определение целевой аудитории для продвижения
- Как построить эффективный отдел продаж. Скрипты продаж. Воронки и автоворонки
- Где размещать рекламу? Агрегаторы франшиз
- SEO, таргетинг, социальные сети
- Лайфхаки работы на выставке франшиз")</f>
        <v>- Определение целевой аудитории для продвижения
- Как построить эффективный отдел продаж. Скрипты продаж. Воронки и автоворонки
- Где размещать рекламу? Агрегаторы франшиз
- SEO, таргетинг, социальные сети
- Лайфхаки работы на выставке франшиз</v>
      </c>
    </row>
    <row r="904" spans="1:4" ht="51" x14ac:dyDescent="0.2">
      <c r="A904" s="1"/>
      <c r="B904" s="4" t="str">
        <f ca="1">IFERROR(__xludf.DUMMYFUNCTION("""COMPUTED_VALUE"""),"Франчайзинг от А до Я онлайн")</f>
        <v>Франчайзинг от А до Я онлайн</v>
      </c>
      <c r="C904" s="4" t="str">
        <f ca="1">IFERROR(__xludf.DUMMYFUNCTION("""COMPUTED_VALUE"""),"Как правильно выбрать франшизу? Выбор прибыльной франшизы. Выбор ниши для франшизы")</f>
        <v>Как правильно выбрать франшизу? Выбор прибыльной франшизы. Выбор ниши для франшизы</v>
      </c>
      <c r="D904" s="1" t="str">
        <f ca="1">IFERROR(__xludf.DUMMYFUNCTION("""COMPUTED_VALUE"""),"- Как определиться с нишей? Каким критериям должна соответствовать франшиза? 
- Где искать франшизу? Обзор площадок
- Оценка региона для выбора франшизы
- Какие франшизы будут востребованы в ближайшем будущем? 
- Рентабельна ли франшиза в микрогородах
- К"&amp;"ак правильно выбрать франшизу? Оценка по авторской модели по 30 критериям")</f>
        <v>- Как определиться с нишей? Каким критериям должна соответствовать франшиза? 
- Где искать франшизу? Обзор площадок
- Оценка региона для выбора франшизы
- Какие франшизы будут востребованы в ближайшем будущем? 
- Рентабельна ли франшиза в микрогородах
- Как правильно выбрать франшизу? Оценка по авторской модели по 30 критериям</v>
      </c>
    </row>
    <row r="905" spans="1:4" ht="38.25" x14ac:dyDescent="0.2">
      <c r="A905" s="1"/>
      <c r="B905" s="4" t="str">
        <f ca="1">IFERROR(__xludf.DUMMYFUNCTION("""COMPUTED_VALUE"""),"Женский бизнес онлайн")</f>
        <v>Женский бизнес онлайн</v>
      </c>
      <c r="C905" s="4" t="str">
        <f ca="1">IFERROR(__xludf.DUMMYFUNCTION("""COMPUTED_VALUE"""),"Точки роста для бизнеса. Как расти, формировать правильные убеждения и сильное окружение")</f>
        <v>Точки роста для бизнеса. Как расти, формировать правильные убеждения и сильное окружение</v>
      </c>
      <c r="D905" s="1" t="str">
        <f ca="1">IFERROR(__xludf.DUMMYFUNCTION("""COMPUTED_VALUE"""),"- Как позиционировать себя на рынке
- Как составить детальный портрет вашей ЦА
- Как научиться самостоятельно анализировать бизнес-процессы
-  Как и зачем нужно прописывать УТП 
- Особенности предпринимательства по-женски
- Нетворкинг, как инструмент для "&amp;"развития внутри сообщества ")</f>
        <v xml:space="preserve">- Как позиционировать себя на рынке
- Как составить детальный портрет вашей ЦА
- Как научиться самостоятельно анализировать бизнес-процессы
-  Как и зачем нужно прописывать УТП 
- Особенности предпринимательства по-женски
- Нетворкинг, как инструмент для развития внутри сообщества </v>
      </c>
    </row>
    <row r="906" spans="1:4" ht="38.25" x14ac:dyDescent="0.2">
      <c r="A906" s="1"/>
      <c r="B906" s="4" t="str">
        <f ca="1">IFERROR(__xludf.DUMMYFUNCTION("""COMPUTED_VALUE"""),"Женский бизнес онлайн")</f>
        <v>Женский бизнес онлайн</v>
      </c>
      <c r="C906" s="4" t="str">
        <f ca="1">IFERROR(__xludf.DUMMYFUNCTION("""COMPUTED_VALUE"""),"Создай лучшую версию своего бизнеса и получи конкретный план реализации")</f>
        <v>Создай лучшую версию своего бизнеса и получи конкретный план реализации</v>
      </c>
      <c r="D906" s="1" t="str">
        <f ca="1">IFERROR(__xludf.DUMMYFUNCTION("""COMPUTED_VALUE"""),"-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бизне"&amp;"са на 10 лет вперед")</f>
        <v>- Как выбрать нужную стратегию для роста бизнеса
- Как правильно ставить бизнес-цель
- Как автоматизировать и улучшить бизнес-процессы
- Какие существуют модели организационных структур
- Что нужно знать о декомпозиции
- Как спрогнозировать развитие бизнеса на 10 лет вперед</v>
      </c>
    </row>
    <row r="907" spans="1:4" ht="51" x14ac:dyDescent="0.2">
      <c r="A907" s="1"/>
      <c r="B907" s="4" t="str">
        <f ca="1">IFERROR(__xludf.DUMMYFUNCTION("""COMPUTED_VALUE"""),"Женский бизнес онлайн")</f>
        <v>Женский бизнес онлайн</v>
      </c>
      <c r="C907" s="4" t="str">
        <f ca="1">IFERROR(__xludf.DUMMYFUNCTION("""COMPUTED_VALUE"""),"Как стать лидером рынка через построение сильной команды и создание правильных отношений в коллективе")</f>
        <v>Как стать лидером рынка через построение сильной команды и создание правильных отношений в коллективе</v>
      </c>
      <c r="D907" s="1" t="str">
        <f ca="1">IFERROR(__xludf.DUMMYFUNCTION("""COMPUTED_VALUE"""),"- Найм сотрудников: как научиться сразу отсекать неадекватных с помощью модели DISC
- Найм сотрудников: как проще всего обучать новых сотрудников
- Сотрудничество: как правильно делегировать задачи
- Сотрудничество: как поставить задачи, чтобы команда зах"&amp;"отела над ними работать
- Увольнение: как расстаться по-хорошему
- Увольнение: как передать дела и сохранить нервы
")</f>
        <v xml:space="preserve">- Найм сотрудников: как научиться сразу отсекать неадекватных с помощью модели DISC
- Найм сотрудников: как проще всего обучать новых сотрудников
- Сотрудничество: как правильно делегировать задачи
- Сотрудничество: как поставить задачи, чтобы команда захотела над ними работать
- Увольнение: как расстаться по-хорошему
- Увольнение: как передать дела и сохранить нервы
</v>
      </c>
    </row>
    <row r="908" spans="1:4" ht="38.25" x14ac:dyDescent="0.2">
      <c r="A908" s="1"/>
      <c r="B908" s="4" t="str">
        <f ca="1">IFERROR(__xludf.DUMMYFUNCTION("""COMPUTED_VALUE"""),"Женский бизнес онлайн")</f>
        <v>Женский бизнес онлайн</v>
      </c>
      <c r="C908" s="4" t="str">
        <f ca="1">IFERROR(__xludf.DUMMYFUNCTION("""COMPUTED_VALUE"""),"Продажи по ЛЮБВИ: эффективная система для роста бизнеса")</f>
        <v>Продажи по ЛЮБВИ: эффективная система для роста бизнеса</v>
      </c>
      <c r="D908" s="1" t="str">
        <f ca="1">IFERROR(__xludf.DUMMYFUNCTION("""COMPUTED_VALUE"""),"- Отдел продаж из чего состоит 
- Воронка продаж и расчет декомпозиции 
- Скрипт продаж
- Работа с командой, мотивация 
- Увеличение прибыли, как влиять ")</f>
        <v xml:space="preserve">- Отдел продаж из чего состоит 
- Воронка продаж и расчет декомпозиции 
- Скрипт продаж
- Работа с командой, мотивация 
- Увеличение прибыли, как влиять </v>
      </c>
    </row>
    <row r="909" spans="1:4" ht="25.5" x14ac:dyDescent="0.2">
      <c r="A909" s="1"/>
      <c r="B909" s="4" t="str">
        <f ca="1">IFERROR(__xludf.DUMMYFUNCTION("""COMPUTED_VALUE"""),"Женский бизнес онлайн")</f>
        <v>Женский бизнес онлайн</v>
      </c>
      <c r="C909" s="4" t="str">
        <f ca="1">IFERROR(__xludf.DUMMYFUNCTION("""COMPUTED_VALUE"""),"Личный бренд, как выделить себя среди конкурентов")</f>
        <v>Личный бренд, как выделить себя среди конкурентов</v>
      </c>
      <c r="D909" s="1" t="str">
        <f ca="1">IFERROR(__xludf.DUMMYFUNCTION("""COMPUTED_VALUE"""),"- Личный бренд — понятия и почему эта тема так востребована 
- Как сформировать своё уникальное личное предложение 
- Как выделить себя среди конкурентов 
- Как продвигать себя через СМИ
- Как правильно оформлять соц.сети 
- Как монетизировать свой личный"&amp;" бренд  ")</f>
        <v xml:space="preserve">- Личный бренд — понятия и почему эта тема так востребована 
- Как сформировать своё уникальное личное предложение 
- Как выделить себя среди конкурентов 
- Как продвигать себя через СМИ
- Как правильно оформлять соц.сети 
- Как монетизировать свой личный бренд  </v>
      </c>
    </row>
    <row r="910" spans="1:4" ht="25.5" x14ac:dyDescent="0.2">
      <c r="A910" s="1"/>
      <c r="B910" s="4" t="str">
        <f ca="1">IFERROR(__xludf.DUMMYFUNCTION("""COMPUTED_VALUE"""),"Женский бизнес онлайн")</f>
        <v>Женский бизнес онлайн</v>
      </c>
      <c r="C910" s="4" t="str">
        <f ca="1">IFERROR(__xludf.DUMMYFUNCTION("""COMPUTED_VALUE"""),"Тренды 2021. Как получать заявки и продажи через инстаграм?")</f>
        <v>Тренды 2021. Как получать заявки и продажи через инстаграм?</v>
      </c>
      <c r="D910" s="1" t="str">
        <f ca="1">IFERROR(__xludf.DUMMYFUNCTION("""COMPUTED_VALUE"""),"- Instagram: точка выхода и роста для любого бизнеса
- Тренды 2021. Что поменялось за последний год
- Как привлечь клиентов: объединяем людей, сайт и инстаграм
- Настройка рекламы в социальных сетях: как потратить только 20% времени, а добиться 80% резуль"&amp;"тата
- Зачем считать показатели, если продвигаешь бизнес
- Стратегия продвижения бизнеса за 30 минут: основные каналы маркетинга")</f>
        <v>- Instagram: точка выхода и роста для любого бизнеса
- Тренды 2021. Что поменялось за последний год
- Как привлечь клиентов: объединяем людей, сайт и инстаграм
- Настройка рекламы в социальных сетях: как потратить только 20% времени, а добиться 80% результата
- Зачем считать показатели, если продвигаешь бизнес
- Стратегия продвижения бизнеса за 30 минут: основные каналы маркетинга</v>
      </c>
    </row>
    <row r="911" spans="1:4" ht="38.25" x14ac:dyDescent="0.2">
      <c r="A911" s="1"/>
      <c r="B911" s="4" t="str">
        <f ca="1">IFERROR(__xludf.DUMMYFUNCTION("""COMPUTED_VALUE"""),"Женский бизнес онлайн")</f>
        <v>Женский бизнес онлайн</v>
      </c>
      <c r="C911" s="4" t="str">
        <f ca="1">IFERROR(__xludf.DUMMYFUNCTION("""COMPUTED_VALUE"""),"Рецепт сбалансированных финансов: от семейного бюджета до корпоративного баланса")</f>
        <v>Рецепт сбалансированных финансов: от семейного бюджета до корпоративного баланса</v>
      </c>
      <c r="D911" s="1" t="str">
        <f ca="1">IFERROR(__xludf.DUMMYFUNCTION("""COMPUTED_VALUE"""),"- Виды финансовых рисков: контроль и управление
- 12 критериев налоговой проверки
- 11 критических ошибок в бухгалтерии
- Кассовые разрывы: причины и выход
- Как повысить финансовую устойчивость
- Семейный бюджет. 10 лайфхаков, как все успевать")</f>
        <v>- Виды финансовых рисков: контроль и управление
- 12 критериев налоговой проверки
- 11 критических ошибок в бухгалтерии
- Кассовые разрывы: причины и выход
- Как повысить финансовую устойчивость
- Семейный бюджет. 10 лайфхаков, как все успевать</v>
      </c>
    </row>
    <row r="912" spans="1:4" ht="25.5" x14ac:dyDescent="0.2">
      <c r="A912" s="1"/>
      <c r="B912" s="4" t="str">
        <f ca="1">IFERROR(__xludf.DUMMYFUNCTION("""COMPUTED_VALUE"""),"Женский бизнес онлайн")</f>
        <v>Женский бизнес онлайн</v>
      </c>
      <c r="C912" s="4" t="str">
        <f ca="1">IFERROR(__xludf.DUMMYFUNCTION("""COMPUTED_VALUE"""),"Тайм-менеджмент (как все успевать)")</f>
        <v>Тайм-менеджмент (как все успевать)</v>
      </c>
      <c r="D912" s="1" t="str">
        <f ca="1">IFERROR(__xludf.DUMMYFUNCTION("""COMPUTED_VALUE"""),"- Управление временем — зачем это нужно и что дает? 
- Как рассчитать силы, время и возможности ? 
- Как определить баланс времени и удовольствия? 
- Зачем формировать привычки, освобождающие время на себя? 
- Планирование графика без стресса 
- Лишнее от"&amp;"давай: как правильно делегировать")</f>
        <v>- Управление временем — зачем это нужно и что дает? 
- Как рассчитать силы, время и возможности ? 
- Как определить баланс времени и удовольствия? 
- Зачем формировать привычки, освобождающие время на себя? 
- Планирование графика без стресса 
- Лишнее отдавай: как правильно делегировать</v>
      </c>
    </row>
    <row r="913" spans="1:4" ht="25.5" x14ac:dyDescent="0.2">
      <c r="A913" s="1"/>
      <c r="B913" s="4" t="str">
        <f ca="1">IFERROR(__xludf.DUMMYFUNCTION("""COMPUTED_VALUE"""),"Женский бизнес онлайн")</f>
        <v>Женский бизнес онлайн</v>
      </c>
      <c r="C913" s="4" t="str">
        <f ca="1">IFERROR(__xludf.DUMMYFUNCTION("""COMPUTED_VALUE"""),"Как все успевать и оставаться в гармонии с собой")</f>
        <v>Как все успевать и оставаться в гармонии с собой</v>
      </c>
      <c r="D913" s="1" t="str">
        <f ca="1">IFERROR(__xludf.DUMMYFUNCTION("""COMPUTED_VALUE"""),"- Управление временем — зачем это нужно и что дает? 
- Как рассчитать силы, время и возможности? 
- Как определить баланс времени и удовольствия? 
- Зачем формировать привычки, освобождающие время на себя? 
- Планирование графика без стресса 
- Лишнее отд"&amp;"авай: как правильно делегировать")</f>
        <v>- Управление временем — зачем это нужно и что дает? 
- Как рассчитать силы, время и возможности? 
- Как определить баланс времени и удовольствия? 
- Зачем формировать привычки, освобождающие время на себя? 
- Планирование графика без стресса 
- Лишнее отдавай: как правильно делегировать</v>
      </c>
    </row>
    <row r="914" spans="1:4" ht="63.75" x14ac:dyDescent="0.2">
      <c r="A914" s="1"/>
      <c r="B914" s="4" t="str">
        <f ca="1">IFERROR(__xludf.DUMMYFUNCTION("""COMPUTED_VALUE"""),"Женский бизнес онлайн")</f>
        <v>Женский бизнес онлайн</v>
      </c>
      <c r="C914" s="4" t="str">
        <f ca="1">IFERROR(__xludf.DUMMYFUNCTION("""COMPUTED_VALUE"""),"Архетипы личности. Как выстраивать беседу, разрешать конфликты и управлять отношениями, чтобы прийти к желаемому результату")</f>
        <v>Архетипы личности. Как выстраивать беседу, разрешать конфликты и управлять отношениями, чтобы прийти к желаемому результату</v>
      </c>
      <c r="D914" s="1" t="str">
        <f ca="1">IFERROR(__xludf.DUMMYFUNCTION("""COMPUTED_VALUE"""),"- Основные 8 женских архетипов: как их распознать по внешности и поведению, как их мотивировать и договариваться
- Основные 8 мужских архетипов: как их распознать по внешности и поведению, как их мотивировать и договариваться
- Распознавание своих ролей и"&amp;" инструменты управления своими состояниями")</f>
        <v>- Основные 8 женских архетипов: как их распознать по внешности и поведению, как их мотивировать и договариваться
- Основные 8 мужских архетипов: как их распознать по внешности и поведению, как их мотивировать и договариваться
- Распознавание своих ролей и инструменты управления своими состояниями</v>
      </c>
    </row>
    <row r="915" spans="1:4" ht="63.75" x14ac:dyDescent="0.2">
      <c r="A915" s="1"/>
      <c r="B915" s="4" t="str">
        <f ca="1">IFERROR(__xludf.DUMMYFUNCTION("""COMPUTED_VALUE"""),"Женский бизнес онлайн")</f>
        <v>Женский бизнес онлайн</v>
      </c>
      <c r="C915" s="4" t="str">
        <f ca="1">IFERROR(__xludf.DUMMYFUNCTION("""COMPUTED_VALUE"""),"Переговоры по-женски. Как выстраивать беседу, разрешать конфликты и управлять отношениями, чтобы прийти к желаемому результату")</f>
        <v>Переговоры по-женски. Как выстраивать беседу, разрешать конфликты и управлять отношениями, чтобы прийти к желаемому результату</v>
      </c>
      <c r="D915" s="1" t="str">
        <f ca="1">IFERROR(__xludf.DUMMYFUNCTION("""COMPUTED_VALUE"""),"- Подготовка к переговорам: что нужно предпринять, прежде чем начать переговоры
- Как правильно фиксировать итоги переговоров, чтобы договоренности соблюдались
- Как понять, чего на самом деле хочет собеседник: его цели и мотивы
- Как договориться с любым"&amp;" человеком: инструменты влияния через понимание психотипа собеседника
- Как эффективно решать острые конфликты с гневными клиентами 
- Как научиться контролировать свои эмоции и управлять эмоциями других людей")</f>
        <v>- Подготовка к переговорам: что нужно предпринять, прежде чем начать переговоры
- Как правильно фиксировать итоги переговоров, чтобы договоренности соблюдались
- Как понять, чего на самом деле хочет собеседник: его цели и мотивы
- Как договориться с любым человеком: инструменты влияния через понимание психотипа собеседника
- Как эффективно решать острые конфликты с гневными клиентами 
- Как научиться контролировать свои эмоции и управлять эмоциями других людей</v>
      </c>
    </row>
    <row r="916" spans="1:4" ht="63.75" x14ac:dyDescent="0.2">
      <c r="A916" s="1"/>
      <c r="B916" s="4" t="str">
        <f ca="1">IFERROR(__xludf.DUMMYFUNCTION("""COMPUTED_VALUE"""),"Женский бизнес онлайн")</f>
        <v>Женский бизнес онлайн</v>
      </c>
      <c r="C916" s="4" t="str">
        <f ca="1">IFERROR(__xludf.DUMMYFUNCTION("""COMPUTED_VALUE"""),"Бизнес-Фичи. Инструменты для эффективного мышления, планирования, принятия решений, повышения вовлеченности команды и рождения новых идей")</f>
        <v>Бизнес-Фичи. Инструменты для эффективного мышления, планирования, принятия решений, повышения вовлеченности команды и рождения новых идей</v>
      </c>
      <c r="D916" s="1" t="str">
        <f ca="1">IFERROR(__xludf.DUMMYFUNCTION("""COMPUTED_VALUE"""),"- Сам себе трекер. Построение индивидуальной и бизнес-карты
- Универсальные инструменты диагностики и планирования бизнес-задач")</f>
        <v>- Сам себе трекер. Построение индивидуальной и бизнес-карты
- Универсальные инструменты диагностики и планирования бизнес-задач</v>
      </c>
    </row>
    <row r="917" spans="1:4" ht="25.5" x14ac:dyDescent="0.2">
      <c r="A917" s="1"/>
      <c r="B917" s="4" t="str">
        <f ca="1">IFERROR(__xludf.DUMMYFUNCTION("""COMPUTED_VALUE"""),"Академия провалов онлайн")</f>
        <v>Академия провалов онлайн</v>
      </c>
      <c r="C917" s="4" t="str">
        <f ca="1">IFERROR(__xludf.DUMMYFUNCTION("""COMPUTED_VALUE"""),"Кризис в бизнесе. Точка отсчета новой реальности")</f>
        <v>Кризис в бизнесе. Точка отсчета новой реальности</v>
      </c>
      <c r="D917" s="1" t="str">
        <f ca="1">IFERROR(__xludf.DUMMYFUNCTION("""COMPUTED_VALUE"""),"- Фатализм, теория неизбежности или необходимый опыт? 
- Теория жизненного цикла организации. Возможна ли «вечная жизнь» компании? 
- Российская и мировая статистика успехов и провалов в бизнесе 
- Истории провалов экспертов Программы и известных предприн"&amp;"имателей 
- Старт работы с кейсами участников")</f>
        <v>- Фатализм, теория неизбежности или необходимый опыт? 
- Теория жизненного цикла организации. Возможна ли «вечная жизнь» компании? 
- Российская и мировая статистика успехов и провалов в бизнесе 
- Истории провалов экспертов Программы и известных предпринимателей 
- Старт работы с кейсами участников</v>
      </c>
    </row>
    <row r="918" spans="1:4" ht="12.75" x14ac:dyDescent="0.2">
      <c r="A918" s="1"/>
      <c r="B918" s="4" t="str">
        <f ca="1">IFERROR(__xludf.DUMMYFUNCTION("""COMPUTED_VALUE"""),"Академия провалов онлайн")</f>
        <v>Академия провалов онлайн</v>
      </c>
      <c r="C918" s="4" t="str">
        <f ca="1">IFERROR(__xludf.DUMMYFUNCTION("""COMPUTED_VALUE"""),"Философия бизнес-провала")</f>
        <v>Философия бизнес-провала</v>
      </c>
      <c r="D918" s="1" t="str">
        <f ca="1">IFERROR(__xludf.DUMMYFUNCTION("""COMPUTED_VALUE"""),"- Фатализм, теория неизбежности или необходимый опыт? 
- Теория жизненного цикла организации. Возможна ли «вечная жизнь» компании? 
- Российская и мировая статистика успехов и провалов в бизнесе 
- Истории провалов экспертов Программы и известных предприн"&amp;"имателей 
- Старт работы с кейсами участников")</f>
        <v>- Фатализм, теория неизбежности или необходимый опыт? 
- Теория жизненного цикла организации. Возможна ли «вечная жизнь» компании? 
- Российская и мировая статистика успехов и провалов в бизнесе 
- Истории провалов экспертов Программы и известных предпринимателей 
- Старт работы с кейсами участников</v>
      </c>
    </row>
    <row r="919" spans="1:4" ht="25.5" x14ac:dyDescent="0.2">
      <c r="A919" s="1"/>
      <c r="B919" s="4" t="str">
        <f ca="1">IFERROR(__xludf.DUMMYFUNCTION("""COMPUTED_VALUE"""),"Академия провалов онлайн")</f>
        <v>Академия провалов онлайн</v>
      </c>
      <c r="C919" s="4" t="str">
        <f ca="1">IFERROR(__xludf.DUMMYFUNCTION("""COMPUTED_VALUE"""),"Инструменты прогнозирования и антикризисного управления")</f>
        <v>Инструменты прогнозирования и антикризисного управления</v>
      </c>
      <c r="D919" s="1" t="str">
        <f ca="1">IFERROR(__xludf.DUMMYFUNCTION("""COMPUTED_VALUE"""),"- Технологии для прогнозирования: PESTEL.модель конкурентных сил Портера, анализ функций организации, диаграмма Исикавы, метод 5 итераций вопросом ""К чему это приведет?"", SWOT технология, метод Декартовых координат
- Что делать, если «все плохо» и не по"&amp;"здно ли лечить? Врачебный подход в бизнесе
- Психологические сложности в принятии стратегического решения — закрывать бизнес или реанимировать?")</f>
        <v>- Технологии для прогнозирования: PESTEL.модель конкурентных сил Портера, анализ функций организации, диаграмма Исикавы, метод 5 итераций вопросом "К чему это приведет?", SWOT технология, метод Декартовых координат
- Что делать, если «все плохо» и не поздно ли лечить? Врачебный подход в бизнесе
- Психологические сложности в принятии стратегического решения — закрывать бизнес или реанимировать?</v>
      </c>
    </row>
    <row r="920" spans="1:4" ht="38.25" x14ac:dyDescent="0.2">
      <c r="A920" s="1"/>
      <c r="B920" s="4" t="str">
        <f ca="1">IFERROR(__xludf.DUMMYFUNCTION("""COMPUTED_VALUE"""),"Академия провалов онлайн")</f>
        <v>Академия провалов онлайн</v>
      </c>
      <c r="C920" s="4" t="str">
        <f ca="1">IFERROR(__xludf.DUMMYFUNCTION("""COMPUTED_VALUE"""),"Управление рисками: как избежать нерациональных решений в бизнесе")</f>
        <v>Управление рисками: как избежать нерациональных решений в бизнесе</v>
      </c>
      <c r="D920" s="1" t="str">
        <f ca="1">IFERROR(__xludf.DUMMYFUNCTION("""COMPUTED_VALUE"""),"-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custdev"&amp;", изучение конкурентного рынка, интервью клиентов)")</f>
        <v>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custdev, изучение конкурентного рынка, интервью клиентов)</v>
      </c>
    </row>
    <row r="921" spans="1:4" ht="12.75" x14ac:dyDescent="0.2">
      <c r="A921" s="1"/>
      <c r="B921" s="4" t="str">
        <f ca="1">IFERROR(__xludf.DUMMYFUNCTION("""COMPUTED_VALUE"""),"Академия провалов онлайн")</f>
        <v>Академия провалов онлайн</v>
      </c>
      <c r="C921" s="4" t="str">
        <f ca="1">IFERROR(__xludf.DUMMYFUNCTION("""COMPUTED_VALUE"""),"Риск-менеджмент")</f>
        <v>Риск-менеджмент</v>
      </c>
      <c r="D921" s="1" t="str">
        <f ca="1">IFERROR(__xludf.DUMMYFUNCTION("""COMPUTED_VALUE"""),"-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custdev"&amp;", изучение конкурентного рынка, интервью клиентов)")</f>
        <v>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custdev, изучение конкурентного рынка, интервью клиентов)</v>
      </c>
    </row>
    <row r="922" spans="1:4" ht="38.25" x14ac:dyDescent="0.2">
      <c r="A922" s="1"/>
      <c r="B922" s="4" t="str">
        <f ca="1">IFERROR(__xludf.DUMMYFUNCTION("""COMPUTED_VALUE"""),"Академия провалов онлайн")</f>
        <v>Академия провалов онлайн</v>
      </c>
      <c r="C922" s="4" t="str">
        <f ca="1">IFERROR(__xludf.DUMMYFUNCTION("""COMPUTED_VALUE"""),"Управление рисками: как избежать нерациональных решений в бизнесе")</f>
        <v>Управление рисками: как избежать нерациональных решений в бизнесе</v>
      </c>
      <c r="D922" s="1" t="str">
        <f ca="1">IFERROR(__xludf.DUMMYFUNCTION("""COMPUTED_VALUE"""),"-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custdev"&amp;", изучение конкурентного рынка, интервью клиентов)")</f>
        <v>- Оценка риска: идентификация, анализ
- Воздействие на риск
- Мониторинг и пересмотр рисков
- Технологии и методология поиска оптимальных решений 
- Обзор современных методов управления риском (визуальное мышление, дизайн-мышление, мозговой штурм, custdev, изучение конкурентного рынка, интервью клиентов)</v>
      </c>
    </row>
    <row r="923" spans="1:4" ht="25.5" x14ac:dyDescent="0.2">
      <c r="A923" s="1"/>
      <c r="B923" s="4" t="str">
        <f ca="1">IFERROR(__xludf.DUMMYFUNCTION("""COMPUTED_VALUE"""),"Академия провалов онлайн")</f>
        <v>Академия провалов онлайн</v>
      </c>
      <c r="C923" s="4" t="str">
        <f ca="1">IFERROR(__xludf.DUMMYFUNCTION("""COMPUTED_VALUE"""),"Личная эффективность собственника")</f>
        <v>Личная эффективность собственника</v>
      </c>
      <c r="D923" s="1" t="str">
        <f ca="1">IFERROR(__xludf.DUMMYFUNCTION("""COMPUTED_VALUE"""),"- Современное трактование лидера, VUCA-мир и вызовы руководителя
- Карта компетенций для современного руководителя
 - Инструменты руководителя: планируемые бизнес-показатели, принятие решений, тайм-менеджмент, эмоциональный интеллект
- Саморазвитие руково"&amp;"дителя: источники полезной информации и вдохновения
- Формирование карты личностного развития")</f>
        <v>- Современное трактование лидера, VUCA-мир и вызовы руководителя
- Карта компетенций для современного руководителя
 - Инструменты руководителя: планируемые бизнес-показатели, принятие решений, тайм-менеджмент, эмоциональный интеллект
- Саморазвитие руководителя: источники полезной информации и вдохновения
- Формирование карты личностного развития</v>
      </c>
    </row>
    <row r="924" spans="1:4" ht="25.5" x14ac:dyDescent="0.2">
      <c r="A924" s="1"/>
      <c r="B924" s="4" t="str">
        <f ca="1">IFERROR(__xludf.DUMMYFUNCTION("""COMPUTED_VALUE"""),"Академия провалов онлайн")</f>
        <v>Академия провалов онлайн</v>
      </c>
      <c r="C924" s="4" t="str">
        <f ca="1">IFERROR(__xludf.DUMMYFUNCTION("""COMPUTED_VALUE"""),"7 критичных ошибок в стратегии и тактике управления")</f>
        <v>7 критичных ошибок в стратегии и тактике управления</v>
      </c>
      <c r="D924" s="1" t="str">
        <f ca="1">IFERROR(__xludf.DUMMYFUNCTION("""COMPUTED_VALUE"""),"- Отсутствие стратегии и тактики
- Игнорировать тренды рынка 
- Не иметь больших амбиций и понятных сотрудникам стратегических целей
- Заниматься всем понемногу, не знать, какие из бизнес-процессов являются ключевыми
- Нежелание признавать ошибочность сво"&amp;"их решений
- Не иметь желания или знаний для контроля экономических показателей деятельности компании
- Неэффективная модель взаимодействия с инвесторами и стейкхолдерами 
- Не обучаться самому и не обучать сотрудников")</f>
        <v>- Отсутствие стратегии и тактики
- Игнорировать тренды рынка 
- Не иметь больших амбиций и понятных сотрудникам стратегических целей
- Заниматься всем понемногу, не знать, какие из бизнес-процессов являются ключевыми
- Нежелание признавать ошибочность своих решений
- Не иметь желания или знаний для контроля экономических показателей деятельности компании
- Неэффективная модель взаимодействия с инвесторами и стейкхолдерами 
- Не обучаться самому и не обучать сотрудников</v>
      </c>
    </row>
    <row r="925" spans="1:4" ht="25.5" x14ac:dyDescent="0.2">
      <c r="A925" s="1"/>
      <c r="B925" s="4" t="str">
        <f ca="1">IFERROR(__xludf.DUMMYFUNCTION("""COMPUTED_VALUE"""),"Академия провалов онлайн")</f>
        <v>Академия провалов онлайн</v>
      </c>
      <c r="C925" s="4" t="str">
        <f ca="1">IFERROR(__xludf.DUMMYFUNCTION("""COMPUTED_VALUE"""),"7 критичных ошибок при построении финансовой системы")</f>
        <v>7 критичных ошибок при построении финансовой системы</v>
      </c>
      <c r="D925" s="1" t="str">
        <f ca="1">IFERROR(__xludf.DUMMYFUNCTION("""COMPUTED_VALUE"""),"- Почему у 90 % предпринимателей бардак в учете
- В чем разница между бухгалтерским и управленческим учетом
- Почему прибыль есть, денег нет. Деньги есть, прибыли нет
- 3 главных отчета собственника бизнеса и как с ними работать")</f>
        <v>- Почему у 90 % предпринимателей бардак в учете
- В чем разница между бухгалтерским и управленческим учетом
- Почему прибыль есть, денег нет. Деньги есть, прибыли нет
- 3 главных отчета собственника бизнеса и как с ними работать</v>
      </c>
    </row>
    <row r="926" spans="1:4" ht="12.75" x14ac:dyDescent="0.2">
      <c r="A926" s="1"/>
      <c r="B926" s="4" t="str">
        <f ca="1">IFERROR(__xludf.DUMMYFUNCTION("""COMPUTED_VALUE"""),"Академия провалов онлайн")</f>
        <v>Академия провалов онлайн</v>
      </c>
      <c r="C926" s="4" t="str">
        <f ca="1">IFERROR(__xludf.DUMMYFUNCTION("""COMPUTED_VALUE"""),"7 критичных ошибок в маркетинге")</f>
        <v>7 критичных ошибок в маркетинге</v>
      </c>
      <c r="D926" s="1" t="str">
        <f ca="1">IFERROR(__xludf.DUMMYFUNCTION("""COMPUTED_VALUE"""),"- Разбор ошибок:
- «Свой путь», игнорирование опыта конкурентов 
- Выбор маленького рынка 
- Не использовать или не замечать мнение клиентов о себе  
- Недооценивать личный бренд 
- Неверное ценообразование 
- Плохое визуальное оформление 
- Продавать с н"&amp;"еоправданными скидками и рассрочками 
- Постоянно «добывать» новых и забывать о старых клиентах 
- Маркетинг не на ЦА")</f>
        <v>- Разбор ошибок:
- «Свой путь», игнорирование опыта конкурентов 
- Выбор маленького рынка 
- Не использовать или не замечать мнение клиентов о себе  
- Недооценивать личный бренд 
- Неверное ценообразование 
- Плохое визуальное оформление 
- Продавать с неоправданными скидками и рассрочками 
- Постоянно «добывать» новых и забывать о старых клиентах 
- Маркетинг не на ЦА</v>
      </c>
    </row>
    <row r="927" spans="1:4" ht="25.5" x14ac:dyDescent="0.2">
      <c r="A927" s="1"/>
      <c r="B927" s="4" t="str">
        <f ca="1">IFERROR(__xludf.DUMMYFUNCTION("""COMPUTED_VALUE"""),"Академия провалов онлайн")</f>
        <v>Академия провалов онлайн</v>
      </c>
      <c r="C927" s="4" t="str">
        <f ca="1">IFERROR(__xludf.DUMMYFUNCTION("""COMPUTED_VALUE"""),"7 критичных ошибок в формировании команды")</f>
        <v>7 критичных ошибок в формировании команды</v>
      </c>
      <c r="D927" s="1" t="str">
        <f ca="1">IFERROR(__xludf.DUMMYFUNCTION("""COMPUTED_VALUE"""),"- Как научиться правильно считать нагрузку сотрудников и не допустить их эмоционального выгорания?
- Ошибки при создании и размещении вакансии
- Другие типы мотивации, кроме денег
- Как правильно и конструктивно увольнять сотрудников")</f>
        <v>- Как научиться правильно считать нагрузку сотрудников и не допустить их эмоционального выгорания?
- Ошибки при создании и размещении вакансии
- Другие типы мотивации, кроме денег
- Как правильно и конструктивно увольнять сотрудников</v>
      </c>
    </row>
    <row r="928" spans="1:4" ht="25.5" x14ac:dyDescent="0.2">
      <c r="A928" s="1"/>
      <c r="B928" s="4" t="str">
        <f ca="1">IFERROR(__xludf.DUMMYFUNCTION("""COMPUTED_VALUE"""),"Академия провалов онлайн")</f>
        <v>Академия провалов онлайн</v>
      </c>
      <c r="C928" s="4" t="str">
        <f ca="1">IFERROR(__xludf.DUMMYFUNCTION("""COMPUTED_VALUE"""),"Дизайн мышление как инструмент выхода из любого провала")</f>
        <v>Дизайн мышление как инструмент выхода из любого провала</v>
      </c>
      <c r="D928" s="1" t="str">
        <f ca="1">IFERROR(__xludf.DUMMYFUNCTION("""COMPUTED_VALUE"""),"- Дизайн-мышление – современный способ решения бизнес-задач, российская практика применения дизайн-решения 
- Отличия творчества от бардака
- Приемы генерации идей и прототипирования вариантов решений
- Деловая игра «Пачиму не пакупают?»")</f>
        <v>- Дизайн-мышление – современный способ решения бизнес-задач, российская практика применения дизайн-решения 
- Отличия творчества от бардака
- Приемы генерации идей и прототипирования вариантов решений
- Деловая игра «Пачиму не пакупают?»</v>
      </c>
    </row>
    <row r="929" spans="1:4" ht="25.5" x14ac:dyDescent="0.2">
      <c r="A929" s="1"/>
      <c r="B929" s="4" t="str">
        <f ca="1">IFERROR(__xludf.DUMMYFUNCTION("""COMPUTED_VALUE"""),"Академия провалов онлайн")</f>
        <v>Академия провалов онлайн</v>
      </c>
      <c r="C929" s="4" t="str">
        <f ca="1">IFERROR(__xludf.DUMMYFUNCTION("""COMPUTED_VALUE"""),"Меры государственной поддержки предпринимателей")</f>
        <v>Меры государственной поддержки предпринимателей</v>
      </c>
      <c r="D929" s="1" t="str">
        <f ca="1">IFERROR(__xludf.DUMMYFUNCTION("""COMPUTED_VALUE"""),"- Как устроена система органов власти
- Существующие меры поддержки и как ими воспользоваться
- Функционирование органов власти
- Взаимодействие с органами власти в рамках правового поля для получения полезного результата
- Ключевые органы власти в сфере "&amp;"надзора и выделения субсидий")</f>
        <v>- Как устроена система органов власти
- Существующие меры поддержки и как ими воспользоваться
- Функционирование органов власти
- Взаимодействие с органами власти в рамках правового поля для получения полезного результата
- Ключевые органы власти в сфере надзора и выделения субсидий</v>
      </c>
    </row>
    <row r="930" spans="1:4" ht="38.25" x14ac:dyDescent="0.2">
      <c r="A930" s="1"/>
      <c r="B930" s="4" t="str">
        <f ca="1">IFERROR(__xludf.DUMMYFUNCTION("""COMPUTED_VALUE"""),"Академия провалов онлайн")</f>
        <v>Академия провалов онлайн</v>
      </c>
      <c r="C930" s="4" t="str">
        <f ca="1">IFERROR(__xludf.DUMMYFUNCTION("""COMPUTED_VALUE"""),"7 критичных ошибок МСБ при получении государственной поддержки")</f>
        <v>7 критичных ошибок МСБ при получении государственной поддержки</v>
      </c>
      <c r="D930" s="1" t="str">
        <f ca="1">IFERROR(__xludf.DUMMYFUNCTION("""COMPUTED_VALUE"""),"- Существующие виды государственной поддержки
- Приоритетные направления поддержки и особенности при их получении
- Как определить соответствие установленным критериям? 
- 7 ключевых ошибок при обращении за господдержкой
- Разработка пошагового алгоритма "&amp;"действий для получения господдержки
- Требования к документам, предоставляемым в госструктуры
- Нюансы, которые стоит знать при получении субсидий
- Целевое расходование и проверки, что нужно знать каждому")</f>
        <v>- Существующие виды государственной поддержки
- Приоритетные направления поддержки и особенности при их получении
- Как определить соответствие установленным критериям? 
- 7 ключевых ошибок при обращении за господдержкой
- Разработка пошагового алгоритма действий для получения господдержки
- Требования к документам, предоставляемым в госструктуры
- Нюансы, которые стоит знать при получении субсидий
- Целевое расходование и проверки, что нужно знать каждому</v>
      </c>
    </row>
    <row r="931" spans="1:4" ht="38.25" x14ac:dyDescent="0.2">
      <c r="A931" s="1"/>
      <c r="B931" s="4"/>
      <c r="C931" s="4" t="str">
        <f ca="1">IFERROR(__xludf.DUMMYFUNCTION("""COMPUTED_VALUE"""),"7 критичных ошибок при получении государственной поддержки")</f>
        <v>7 критичных ошибок при получении государственной поддержки</v>
      </c>
      <c r="D931" s="1" t="str">
        <f ca="1">IFERROR(__xludf.DUMMYFUNCTION("""COMPUTED_VALUE"""),"- Существующие виды государственной поддержки
- Приоритетные направления поддержки и особенности при их получении
- Как определить соответствие установленным критериям? 
- 7 ключевых ошибок при обращении за господдержкой
- Разработка пошагового алгоритма "&amp;"действий для получения господдержки
- Требования к документам, предоставляемым в госструктуры
- Нюансы, которые стоит знать при получении субсидий
- Целевое расходование и проверки, что нужно знать каждому")</f>
        <v>- Существующие виды государственной поддержки
- Приоритетные направления поддержки и особенности при их получении
- Как определить соответствие установленным критериям? 
- 7 ключевых ошибок при обращении за господдержкой
- Разработка пошагового алгоритма действий для получения господдержки
- Требования к документам, предоставляемым в госструктуры
- Нюансы, которые стоит знать при получении субсидий
- Целевое расходование и проверки, что нужно знать каждому</v>
      </c>
    </row>
    <row r="932" spans="1:4" ht="38.25" x14ac:dyDescent="0.2">
      <c r="A932" s="1"/>
      <c r="B932" s="4" t="str">
        <f ca="1">IFERROR(__xludf.DUMMYFUNCTION("""COMPUTED_VALUE"""),"Академия провалов онлайн")</f>
        <v>Академия провалов онлайн</v>
      </c>
      <c r="C932" s="4" t="str">
        <f ca="1">IFERROR(__xludf.DUMMYFUNCTION("""COMPUTED_VALUE"""),"Практические инструменты переговоров, продаж и безупречного клиентского сервиса")</f>
        <v>Практические инструменты переговоров, продаж и безупречного клиентского сервиса</v>
      </c>
      <c r="D932" s="1" t="str">
        <f ca="1">IFERROR(__xludf.DUMMYFUNCTION("""COMPUTED_VALUE"""),"- 10 критических ошибок в продажах
- Технология продаж без возражений «ГОЛДРИНГ»
- Проработка методов вербовки и противостояния стрессовому воздействию
- Правила и инструменты безупречного сервиса")</f>
        <v>- 10 критических ошибок в продажах
- Технология продаж без возражений «ГОЛДРИНГ»
- Проработка методов вербовки и противостояния стрессовому воздействию
- Правила и инструменты безупречного сервиса</v>
      </c>
    </row>
    <row r="933" spans="1:4" ht="76.5" x14ac:dyDescent="0.2">
      <c r="A933" s="1"/>
      <c r="B933" s="4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33" s="4" t="str">
        <f ca="1">IFERROR(__xludf.DUMMYFUNCTION("""COMPUTED_VALUE"""),"Что не так с моим бизнесом? 
Экспресс-аудит ресурсов компании.
Технология поиска точек напряжения и узких мест бизнеса. 
")</f>
        <v xml:space="preserve">Что не так с моим бизнесом? 
Экспресс-аудит ресурсов компании.
Технология поиска точек напряжения и узких мест бизнеса. 
</v>
      </c>
      <c r="D933" s="1" t="str">
        <f ca="1">IFERROR(__xludf.DUMMYFUNCTION("""COMPUTED_VALUE"""),"- Понятие рисков и провалов на опыте известных компаний, личном опыте спикера 
- Знакомство с методиками диагностического фрагментирования и моделирования бизнеса — проработка алгоритма оценки рисков по 4 основным сферам
- Освоение методов индивидуальной "&amp;"и групповой работы по оценке рисков
- Разбор технологии ДРК на реальных кейсах участников
")</f>
        <v xml:space="preserve">- Понятие рисков и провалов на опыте известных компаний, личном опыте спикера 
- Знакомство с методиками диагностического фрагментирования и моделирования бизнеса — проработка алгоритма оценки рисков по 4 основным сферам
- Освоение методов индивидуальной и групповой работы по оценке рисков
- Разбор технологии ДРК на реальных кейсах участников
</v>
      </c>
    </row>
    <row r="934" spans="1:4" ht="25.5" x14ac:dyDescent="0.2">
      <c r="A934" s="1"/>
      <c r="B934" s="4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34" s="4" t="str">
        <f ca="1">IFERROR(__xludf.DUMMYFUNCTION("""COMPUTED_VALUE"""),"Этап возрождения или новый виток развития Бизнеса")</f>
        <v>Этап возрождения или новый виток развития Бизнеса</v>
      </c>
      <c r="D934" s="1" t="str">
        <f ca="1">IFERROR(__xludf.DUMMYFUNCTION("""COMPUTED_VALUE"""),"- Кейс — личный опыт прохождения кризиса 2014 и выхода из него
- Предпринимательское мышление. Анализ ситуации и вера в собственные решения
- Управление в период кризиса. Принятие непопулярных мер
- Место потребителя в вашем бизнесе
- Основы дизайн-мышлен"&amp;"ия для анализа и изменения продукта
- Основы и применение Customer Development
- Технология перезагрузки бизнеса собственными силами")</f>
        <v>- Кейс — личный опыт прохождения кризиса 2014 и выхода из него
- Предпринимательское мышление. Анализ ситуации и вера в собственные решения
- Управление в период кризиса. Принятие непопулярных мер
- Место потребителя в вашем бизнесе
- Основы дизайн-мышления для анализа и изменения продукта
- Основы и применение Customer Development
- Технология перезагрузки бизнеса собственными силами</v>
      </c>
    </row>
    <row r="935" spans="1:4" ht="38.25" x14ac:dyDescent="0.2">
      <c r="A935" s="1"/>
      <c r="B935" s="4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35" s="4" t="str">
        <f ca="1">IFERROR(__xludf.DUMMYFUNCTION("""COMPUTED_VALUE"""),"Как навести порядок в финансах компании? Финансовые риски и защита от них")</f>
        <v>Как навести порядок в финансах компании? Финансовые риски и защита от них</v>
      </c>
      <c r="D935" s="1" t="str">
        <f ca="1">IFERROR(__xludf.DUMMYFUNCTION("""COMPUTED_VALUE"""),"- Кейс из практики, система мер по спасению бизнеса из кризиса
- Система финансовых отчетов. Анализ полноты информации для принятия решений
- Работа с бюджетом доходов и расходов. Лайфхаки для роста чистой прибыли.
- Юнит-экономика, как посчитать и зачем "&amp;"она нужна
- Чек-лист по удержанию компании на плаву во время кризиса
- Система показателей для контроля бизнеса на постоянной основе")</f>
        <v>- Кейс из практики, система мер по спасению бизнеса из кризиса
- Система финансовых отчетов. Анализ полноты информации для принятия решений
- Работа с бюджетом доходов и расходов. Лайфхаки для роста чистой прибыли.
- Юнит-экономика, как посчитать и зачем она нужна
- Чек-лист по удержанию компании на плаву во время кризиса
- Система показателей для контроля бизнеса на постоянной основе</v>
      </c>
    </row>
    <row r="936" spans="1:4" ht="38.25" x14ac:dyDescent="0.2">
      <c r="A936" s="1"/>
      <c r="B936" s="4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36" s="4" t="str">
        <f ca="1">IFERROR(__xludf.DUMMYFUNCTION("""COMPUTED_VALUE"""),"Семейный и дружеский бизнес. Откуда берутся горячие споры об этом?")</f>
        <v>Семейный и дружеский бизнес. Откуда берутся горячие споры об этом?</v>
      </c>
      <c r="D936" s="1" t="str">
        <f ca="1">IFERROR(__xludf.DUMMYFUNCTION("""COMPUTED_VALUE"""),"- Природа семейного бизнеса
- Плюсы и минусы работы с родными и близкими. Примеры успеха и неуспеха
- В каких случаях работа с родственниками, а особенно с супругами, приводит к кризисам. Как в них действовать
- Ролевые, личные и внутриличностные конфликт"&amp;"ы в семейном бизнесе 
- Выводы из провалов: как решать споры и конфликты, определять правила, роли, границы и ценности")</f>
        <v>- Природа семейного бизнеса
- Плюсы и минусы работы с родными и близкими. Примеры успеха и неуспеха
- В каких случаях работа с родственниками, а особенно с супругами, приводит к кризисам. Как в них действовать
- Ролевые, личные и внутриличностные конфликты в семейном бизнесе 
- Выводы из провалов: как решать споры и конфликты, определять правила, роли, границы и ценности</v>
      </c>
    </row>
    <row r="937" spans="1:4" ht="25.5" x14ac:dyDescent="0.2">
      <c r="A937" s="1"/>
      <c r="B937" s="4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37" s="4" t="str">
        <f ca="1">IFERROR(__xludf.DUMMYFUNCTION("""COMPUTED_VALUE"""),"Формирование команды в кризисном управлении бизнесом")</f>
        <v>Формирование команды в кризисном управлении бизнесом</v>
      </c>
      <c r="D937" s="1" t="str">
        <f ca="1">IFERROR(__xludf.DUMMYFUNCTION("""COMPUTED_VALUE"""),"- Как быстро найти нужного сотрудника удаленно
- Как удержать сотрудника и быстро вывести его на результат в период кризиса
- Каким образом оптимизировать заработную плату мотивируя лучших
- Как собрать эффективную удаленную команду и управлять ею
- Немат"&amp;"ериальная мотивация, типы сотрудников 
- План адаптации. Когда подбор сотрудника можно считать успешным")</f>
        <v>- Как быстро найти нужного сотрудника удаленно
- Как удержать сотрудника и быстро вывести его на результат в период кризиса
- Каким образом оптимизировать заработную плату мотивируя лучших
- Как собрать эффективную удаленную команду и управлять ею
- Нематериальная мотивация, типы сотрудников 
- План адаптации. Когда подбор сотрудника можно считать успешным</v>
      </c>
    </row>
    <row r="938" spans="1:4" ht="25.5" x14ac:dyDescent="0.2">
      <c r="A938" s="1"/>
      <c r="B938" s="4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38" s="4" t="str">
        <f ca="1">IFERROR(__xludf.DUMMYFUNCTION("""COMPUTED_VALUE"""),"Системы оплаты труда
")</f>
        <v xml:space="preserve">Системы оплаты труда
</v>
      </c>
      <c r="D938" s="1" t="str">
        <f ca="1">IFERROR(__xludf.DUMMYFUNCTION("""COMPUTED_VALUE"""),"- Системы оплаты труда, какие они бывают, примеры
- Наиболее частые ошибки в оплате труда 
- Оклады, премии, надбавки, стимулирующие доплаты 
- Как, когда и зачем проводить анализ работного рынка 
- Выстраиваем систему оплаты для ""окладников"" 
- Выстраи"&amp;"ваем систему оплаты для прибыль приносящих подразделений 
- Как правильно менять систему оплаты труда ")</f>
        <v xml:space="preserve">- Системы оплаты труда, какие они бывают, примеры
- Наиболее частые ошибки в оплате труда 
- Оклады, премии, надбавки, стимулирующие доплаты 
- Как, когда и зачем проводить анализ работного рынка 
- Выстраиваем систему оплаты для "окладников" 
- Выстраиваем систему оплаты для прибыль приносящих подразделений 
- Как правильно менять систему оплаты труда </v>
      </c>
    </row>
    <row r="939" spans="1:4" ht="51" x14ac:dyDescent="0.2">
      <c r="A939" s="1"/>
      <c r="B939" s="4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39" s="4" t="str">
        <f ca="1">IFERROR(__xludf.DUMMYFUNCTION("""COMPUTED_VALUE"""),"Чем грозит неуплата налогов. Какая сумма может заинтересовать следователя и почему это важно знать?")</f>
        <v>Чем грозит неуплата налогов. Какая сумма может заинтересовать следователя и почему это важно знать?</v>
      </c>
      <c r="D939" s="1" t="str">
        <f ca="1">IFERROR(__xludf.DUMMYFUNCTION("""COMPUTED_VALUE"""),"- Общая характеристика преступлений о неуплате налогов
- Цели, задачи следователя и цели, задачи предпринимателя
- Поводы и основания для возбуждения уголовных дел о неуплате налогов  
- Решения, принимаемые по результатам проверки
- Обжалование действий "&amp;"и решений правоохранительных органов
- Тактика и порядок действий при взаимодействии с правоохранительными органами")</f>
        <v>- Общая характеристика преступлений о неуплате налогов
- Цели, задачи следователя и цели, задачи предпринимателя
- Поводы и основания для возбуждения уголовных дел о неуплате налогов  
- Решения, принимаемые по результатам проверки
- Обжалование действий и решений правоохранительных органов
- Тактика и порядок действий при взаимодействии с правоохранительными органами</v>
      </c>
    </row>
    <row r="940" spans="1:4" ht="38.25" x14ac:dyDescent="0.2">
      <c r="A940" s="1"/>
      <c r="B940" s="4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0" s="4" t="str">
        <f ca="1">IFERROR(__xludf.DUMMYFUNCTION("""COMPUTED_VALUE"""),"Инструменты защиты своих прав и интересов в рамках уголовного преследования")</f>
        <v>Инструменты защиты своих прав и интересов в рамках уголовного преследования</v>
      </c>
      <c r="D940" s="1" t="str">
        <f ca="1">IFERROR(__xludf.DUMMYFUNCTION("""COMPUTED_VALUE"""),"- Дела о неуплате налогов, какие они бывают
- Что нужно доказывать в делах о неуплате налогов
- Размер не уплаченного налога, как определяется и на что влияет
- Какие доказательства используются и какие требования к ним предъявляются
- Освобождение от док"&amp;"азывания, что это значит и когда применяется
- Если Арбитражный суд признал незаконными результаты налоговой проверки")</f>
        <v>- Дела о неуплате налогов, какие они бывают
- Что нужно доказывать в делах о неуплате налогов
- Размер не уплаченного налога, как определяется и на что влияет
- Какие доказательства используются и какие требования к ним предъявляются
- Освобождение от доказывания, что это значит и когда применяется
- Если Арбитражный суд признал незаконными результаты налоговой проверки</v>
      </c>
    </row>
    <row r="941" spans="1:4" ht="38.25" x14ac:dyDescent="0.2">
      <c r="A941" s="1"/>
      <c r="B941" s="4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1" s="4" t="str">
        <f ca="1">IFERROR(__xludf.DUMMYFUNCTION("""COMPUTED_VALUE"""),"Как избежать одну из острых проблем в кризис — Субсидиарную ответственность")</f>
        <v>Как избежать одну из острых проблем в кризис — Субсидиарную ответственность</v>
      </c>
      <c r="D941" s="1" t="str">
        <f ca="1">IFERROR(__xludf.DUMMYFUNCTION("""COMPUTED_VALUE"""),"- Субсидиарная ответственность и причины её возникновения 
- Основания для привлечения к субсидиарной ответственности 
- Риск привлечения к субсидиарной ответственности 
- Практика и динамика привлечения к ответственности, разбор примеров
- Разбор инструм"&amp;"ентов, которые уменьшат субсидиарную ответственность или освободят от нее")</f>
        <v>- Субсидиарная ответственность и причины её возникновения 
- Основания для привлечения к субсидиарной ответственности 
- Риск привлечения к субсидиарной ответственности 
- Практика и динамика привлечения к ответственности, разбор примеров
- Разбор инструментов, которые уменьшат субсидиарную ответственность или освободят от нее</v>
      </c>
    </row>
    <row r="942" spans="1:4" ht="51" x14ac:dyDescent="0.2">
      <c r="A942" s="1"/>
      <c r="B942" s="4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2" s="4" t="str">
        <f ca="1">IFERROR(__xludf.DUMMYFUNCTION("""COMPUTED_VALUE"""),"Конфликты между собственниками бизнеса в кризис. Как не допустить, как выйти из конфликта?")</f>
        <v>Конфликты между собственниками бизнеса в кризис. Как не допустить, как выйти из конфликта?</v>
      </c>
      <c r="D942" s="1" t="str">
        <f ca="1">IFERROR(__xludf.DUMMYFUNCTION("""COMPUTED_VALUE"""),"- Природа возникновения конфликтов и провалов в бизнесе 
- Пути давления, применяемые при корпоративных спорах 
- Пути профилактики возникновения корпоративных споров и инструменты сохранения контроля в компании при долевом участии 
- Инструменты нивелиро"&amp;"вания рисков рейдерского захвата предприятия 
- Использование обеспечительных мер при корпоративных спорах ")</f>
        <v xml:space="preserve">- Природа возникновения конфликтов и провалов в бизнесе 
- Пути давления, применяемые при корпоративных спорах 
- Пути профилактики возникновения корпоративных споров и инструменты сохранения контроля в компании при долевом участии 
- Инструменты нивелирования рисков рейдерского захвата предприятия 
- Использование обеспечительных мер при корпоративных спорах </v>
      </c>
    </row>
    <row r="943" spans="1:4" ht="25.5" x14ac:dyDescent="0.2">
      <c r="A943" s="1"/>
      <c r="B943" s="4" t="str">
        <f ca="1">IFERROR(__xludf.DUMMYFUNCTION("""COMPUTED_VALUE"""),"Академия антикризисного управления онлайн")</f>
        <v>Академия антикризисного управления онлайн</v>
      </c>
      <c r="C943" s="4" t="str">
        <f ca="1">IFERROR(__xludf.DUMMYFUNCTION("""COMPUTED_VALUE"""),"Словоблудие или как правильно вести переговоры в кризис")</f>
        <v>Словоблудие или как правильно вести переговоры в кризис</v>
      </c>
      <c r="D943" s="1" t="str">
        <f ca="1">IFERROR(__xludf.DUMMYFUNCTION("""COMPUTED_VALUE"""),"- Личный бренд — как искусство создания первого впечатления 
- Нетворкинг — как стиль жизни 
- Харизма. Какой она бывает, и как её использовать в кризисной ситуации 
- Ораторское искусство — инструмент применяемый в момент провала бизнеса 
- Карьерные про"&amp;"валы выдающихся предпринимателей, как пример для преодоления кризиса")</f>
        <v>- Личный бренд — как искусство создания первого впечатления 
- Нетворкинг — как стиль жизни 
- Харизма. Какой она бывает, и как её использовать в кризисной ситуации 
- Ораторское искусство — инструмент применяемый в момент провала бизнеса 
- Карьерные провалы выдающихся предпринимателей, как пример для преодоления кризиса</v>
      </c>
    </row>
    <row r="944" spans="1:4" ht="25.5" x14ac:dyDescent="0.2">
      <c r="A944" s="1"/>
      <c r="B944" s="4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44" s="4" t="str">
        <f ca="1">IFERROR(__xludf.DUMMYFUNCTION("""COMPUTED_VALUE"""),"Как начать продвижение бизнеса в интернете")</f>
        <v>Как начать продвижение бизнеса в интернете</v>
      </c>
      <c r="D944" s="1" t="str">
        <f ca="1">IFERROR(__xludf.DUMMYFUNCTION("""COMPUTED_VALUE"""),"- Что такое маркетинг и как его внедрить в бизнес 
- Какие главные параметры в маркетинге для бизнеса
- Воронка продаж в бизнесе — подсчет экономики продвижения бизнеса в интернете 
- Какие бывают типы интернет-проектов и какие цели перед ними стоят
- Про"&amp;"работка KPI для достижения целей с помощью маркетинга")</f>
        <v>- Что такое маркетинг и как его внедрить в бизнес 
- Какие главные параметры в маркетинге для бизнеса
- Воронка продаж в бизнесе — подсчет экономики продвижения бизнеса в интернете 
- Какие бывают типы интернет-проектов и какие цели перед ними стоят
- Проработка KPI для достижения целей с помощью маркетинга</v>
      </c>
    </row>
    <row r="945" spans="1:4" ht="25.5" x14ac:dyDescent="0.2">
      <c r="A945" s="1"/>
      <c r="B945" s="4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45" s="4" t="str">
        <f ca="1">IFERROR(__xludf.DUMMYFUNCTION("""COMPUTED_VALUE"""),"Создаем стратегию продвижения бизнеса в интернете")</f>
        <v>Создаем стратегию продвижения бизнеса в интернете</v>
      </c>
      <c r="D945" s="1" t="str">
        <f ca="1">IFERROR(__xludf.DUMMYFUNCTION("""COMPUTED_VALUE"""),"- Как создать стратегию продвижения на основе своей аудитории, конкурентов и ниши 
- Как отстроиться от конкурентов и создать уникальный бренд 
- Проработка портретов клиентов и предложений для них 
- Этапы запуска продвижения бизнеса в интернете 
- Набор"&amp;" основных каналов и инструментов для продвижения ")</f>
        <v xml:space="preserve">- Как создать стратегию продвижения на основе своей аудитории, конкурентов и ниши 
- Как отстроиться от конкурентов и создать уникальный бренд 
- Проработка портретов клиентов и предложений для них 
- Этапы запуска продвижения бизнеса в интернете 
- Набор основных каналов и инструментов для продвижения </v>
      </c>
    </row>
    <row r="946" spans="1:4" ht="25.5" x14ac:dyDescent="0.2">
      <c r="A946" s="1"/>
      <c r="B946" s="4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46" s="4" t="str">
        <f ca="1">IFERROR(__xludf.DUMMYFUNCTION("""COMPUTED_VALUE"""),"Запускаем сайт с помощью Tilda")</f>
        <v>Запускаем сайт с помощью Tilda</v>
      </c>
      <c r="D946" s="1" t="str">
        <f ca="1">IFERROR(__xludf.DUMMYFUNCTION("""COMPUTED_VALUE"""),"- Зачем нужен сайт бизнесу и как его использовать 
- Типы сайтов, выбор подрядчиков и конструкторы сайтов 
- Что самое главное на сайте или как посетителя превратить в клиента 
- Как создать сайт за 1 час — экспресс-практика по запуску Tilda
- Проработка "&amp;"первого экрана сайта 
- Как собирать заявки и обрабатывать их")</f>
        <v>- Зачем нужен сайт бизнесу и как его использовать 
- Типы сайтов, выбор подрядчиков и конструкторы сайтов 
- Что самое главное на сайте или как посетителя превратить в клиента 
- Как создать сайт за 1 час — экспресс-практика по запуску Tilda
- Проработка первого экрана сайта 
- Как собирать заявки и обрабатывать их</v>
      </c>
    </row>
    <row r="947" spans="1:4" ht="38.25" x14ac:dyDescent="0.2">
      <c r="A947" s="1"/>
      <c r="B947" s="4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47" s="4" t="str">
        <f ca="1">IFERROR(__xludf.DUMMYFUNCTION("""COMPUTED_VALUE"""),"Веб-аналитика для анализа пользователей и результативности сайта")</f>
        <v>Веб-аналитика для анализа пользователей и результативности сайта</v>
      </c>
      <c r="D947" s="1" t="str">
        <f ca="1">IFERROR(__xludf.DUMMYFUNCTION("""COMPUTED_VALUE"""),"- Что такое веб-аналитика и как она работает 
- Ставим правильные цели для анализа 
- Как настраивается Яндекс Метрика и Google Analytics 
- Как узнать своего клиента и найти новых потенциальных клиентов 
- Используем отчеты для контроля подрядчиков и мар"&amp;"кетологов 
- Считаем эффективность продвижения бизнеса в интернете ")</f>
        <v xml:space="preserve">- Что такое веб-аналитика и как она работает 
- Ставим правильные цели для анализа 
- Как настраивается Яндекс Метрика и Google Analytics 
- Как узнать своего клиента и найти новых потенциальных клиентов 
- Используем отчеты для контроля подрядчиков и маркетологов 
- Считаем эффективность продвижения бизнеса в интернете </v>
      </c>
    </row>
    <row r="948" spans="1:4" ht="38.25" x14ac:dyDescent="0.2">
      <c r="A948" s="1"/>
      <c r="B948" s="4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48" s="4" t="str">
        <f ca="1">IFERROR(__xludf.DUMMYFUNCTION("""COMPUTED_VALUE"""),"Продвижение бизнеса в социальных сетях: от создания стратегии до получения клиентов")</f>
        <v>Продвижение бизнеса в социальных сетях: от создания стратегии до получения клиентов</v>
      </c>
      <c r="D948" s="1" t="str">
        <f ca="1">IFERROR(__xludf.DUMMYFUNCTION("""COMPUTED_VALUE"""),"- Как правильно создать профили и аккаунты для продвижения бизнеса в соц.сетях 
- Как подобрать соц.сети для продвижения 
- Что публиковать в соц.сетях, чтобы привлекать клиентов 
- ТОП-5 каналов привлечения подписчиков в соц.сети 
- Как вовлекать аудитор"&amp;"ию соц.сетей 
- Запуск конкурсов и работа с блогерами 
- Как анализировать результат продвижения в соц.сетях ")</f>
        <v xml:space="preserve">- Как правильно создать профили и аккаунты для продвижения бизнеса в соц.сетях 
- Как подобрать соц.сети для продвижения 
- Что публиковать в соц.сетях, чтобы привлекать клиентов 
- ТОП-5 каналов привлечения подписчиков в соц.сети 
- Как вовлекать аудиторию соц.сетей 
- Запуск конкурсов и работа с блогерами 
- Как анализировать результат продвижения в соц.сетях </v>
      </c>
    </row>
    <row r="949" spans="1:4" ht="38.25" x14ac:dyDescent="0.2">
      <c r="A949" s="1"/>
      <c r="B949" s="4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49" s="4" t="str">
        <f ca="1">IFERROR(__xludf.DUMMYFUNCTION("""COMPUTED_VALUE"""),"Таргетированная реклама в социальных сетях: Facebook, Instagram, VK")</f>
        <v>Таргетированная реклама в социальных сетях: Facebook, Instagram, VK</v>
      </c>
      <c r="D949" s="1" t="str">
        <f ca="1">IFERROR(__xludf.DUMMYFUNCTION("""COMPUTED_VALUE"""),"- Таргетированная реклама и ее алгоритмы 
- Какую рекламу выбрать?
- Самостоятельный запуск рекламы в Instagram
- Продающие объявления в рекламе 
- Настройка рекламы с помощью рекламных кабинетов 
- Как получать клиентов с рекламы без сайта 
- Догоняем по"&amp;"льзователей сайта и дожимаем продажи 
- Особенности запуска рекламы для VK и Facebook 
- Экспресс запуск рекламы в VK или Facebook ")</f>
        <v xml:space="preserve">- Таргетированная реклама и ее алгоритмы 
- Какую рекламу выбрать?
- Самостоятельный запуск рекламы в Instagram
- Продающие объявления в рекламе 
- Настройка рекламы с помощью рекламных кабинетов 
- Как получать клиентов с рекламы без сайта 
- Догоняем пользователей сайта и дожимаем продажи 
- Особенности запуска рекламы для VK и Facebook 
- Экспресс запуск рекламы в VK или Facebook </v>
      </c>
    </row>
    <row r="950" spans="1:4" ht="25.5" x14ac:dyDescent="0.2">
      <c r="A950" s="1"/>
      <c r="B950" s="4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0" s="4" t="str">
        <f ca="1">IFERROR(__xludf.DUMMYFUNCTION("""COMPUTED_VALUE"""),"Мессенджеры для бизнеса: чат-боты, рассылки, воронки")</f>
        <v>Мессенджеры для бизнеса: чат-боты, рассылки, воронки</v>
      </c>
      <c r="D950" s="1" t="str">
        <f ca="1">IFERROR(__xludf.DUMMYFUNCTION("""COMPUTED_VALUE"""),"- Как работают чат-боты и рассылки 
- Какие чат-боты бывают и задачи для решения бизнеса
- Варианты сценариев коммуникации с пользователями 
- Как привлечь аудиторию в чат-бот и рассылку 
- Как создать и запустить чат-бот и рассылку
- Основные ошибки в за"&amp;"пуске чат-ботов 
- Как правильно подобрать специалиста для продвижения")</f>
        <v>- Как работают чат-боты и рассылки 
- Какие чат-боты бывают и задачи для решения бизнеса
- Варианты сценариев коммуникации с пользователями 
- Как привлечь аудиторию в чат-бот и рассылку 
- Как создать и запустить чат-бот и рассылку
- Основные ошибки в запуске чат-ботов 
- Как правильно подобрать специалиста для продвижения</v>
      </c>
    </row>
    <row r="951" spans="1:4" ht="25.5" x14ac:dyDescent="0.2">
      <c r="A951" s="1"/>
      <c r="B951" s="4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1" s="4" t="str">
        <f ca="1">IFERROR(__xludf.DUMMYFUNCTION("""COMPUTED_VALUE"""),"Продвижение сайта в поиске Яндекс и Google")</f>
        <v>Продвижение сайта в поиске Яндекс и Google</v>
      </c>
      <c r="D951" s="1" t="str">
        <f ca="1">IFERROR(__xludf.DUMMYFUNCTION("""COMPUTED_VALUE"""),"- Как работают поисковые системы 
- Какие запросы пользователей бывают и как получать по ним переходы 
- Как подготовиться к продвижению в поисковиках 
- Что такое семантическое ядро или как правильно найти целевую аудиторию 
- Как создавать контент для л"&amp;"юдей и роботов 
- Основные ошибки в поисковом продвижении 
- Как правильно подобрать специалиста для продвижения")</f>
        <v>- Как работают поисковые системы 
- Какие запросы пользователей бывают и как получать по ним переходы 
- Как подготовиться к продвижению в поисковиках 
- Что такое семантическое ядро или как правильно найти целевую аудиторию 
- Как создавать контент для людей и роботов 
- Основные ошибки в поисковом продвижении 
- Как правильно подобрать специалиста для продвижения</v>
      </c>
    </row>
    <row r="952" spans="1:4" ht="25.5" x14ac:dyDescent="0.2">
      <c r="A952" s="1"/>
      <c r="B952" s="4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2" s="4" t="str">
        <f ca="1">IFERROR(__xludf.DUMMYFUNCTION("""COMPUTED_VALUE"""),"Практика внедрения контекстной рекламы для B2B и B2C")</f>
        <v>Практика внедрения контекстной рекламы для B2B и B2C</v>
      </c>
      <c r="D952" s="1" t="str">
        <f ca="1">IFERROR(__xludf.DUMMYFUNCTION("""COMPUTED_VALUE"""),"- Как работает контекстная реклама и ее алгоритмы 
- Особенности сбора семантики для продвижения через контекст 
- Как правильно собрать поисковые запросы потенциальных клиентов 
- Запуск рекламы в поиске и медийная реклама (РСЯ и КМС) 
- Проработка текст"&amp;"ов и офферов в контекстной рекламе 
- Экспресс-запуск Яндекс Директа ")</f>
        <v xml:space="preserve">- Как работает контекстная реклама и ее алгоритмы 
- Особенности сбора семантики для продвижения через контекст 
- Как правильно собрать поисковые запросы потенциальных клиентов 
- Запуск рекламы в поиске и медийная реклама (РСЯ и КМС) 
- Проработка текстов и офферов в контекстной рекламе 
- Экспресс-запуск Яндекс Директа </v>
      </c>
    </row>
    <row r="953" spans="1:4" ht="25.5" x14ac:dyDescent="0.2">
      <c r="A953" s="1"/>
      <c r="B953" s="4" t="str">
        <f ca="1">IFERROR(__xludf.DUMMYFUNCTION("""COMPUTED_VALUE"""),"Продвижение в интернете и социальных сетях онлайн")</f>
        <v>Продвижение в интернете и социальных сетях онлайн</v>
      </c>
      <c r="C953" s="4" t="str">
        <f ca="1">IFERROR(__xludf.DUMMYFUNCTION("""COMPUTED_VALUE"""),"Как правильно подобрать команду и контролировать продвижение")</f>
        <v>Как правильно подобрать команду и контролировать продвижение</v>
      </c>
      <c r="D953" s="1" t="str">
        <f ca="1">IFERROR(__xludf.DUMMYFUNCTION("""COMPUTED_VALUE"""),"- Подбор подрядчика для продвижения: сотрудник, агентство и фрилансер 
- Коммуникация с подрядчиком и отчетность 
- Какие данные нужно анализировать для разных каналов маркетинга 
- Договора и оплата работы исполнителю 
")</f>
        <v xml:space="preserve">- Подбор подрядчика для продвижения: сотрудник, агентство и фрилансер 
- Коммуникация с подрядчиком и отчетность 
- Какие данные нужно анализировать для разных каналов маркетинга 
- Договора и оплата работы исполнителю 
</v>
      </c>
    </row>
    <row r="954" spans="1:4" ht="25.5" x14ac:dyDescent="0.2">
      <c r="A954" s="1"/>
      <c r="B954" s="4"/>
      <c r="C954" s="4" t="str">
        <f ca="1">IFERROR(__xludf.DUMMYFUNCTION("""COMPUTED_VALUE"""),"Продвижение в социальных сетях: Instagram, VK, Facebook")</f>
        <v>Продвижение в социальных сетях: Instagram, VK, Facebook</v>
      </c>
      <c r="D954" s="1" t="str">
        <f ca="1">IFERROR(__xludf.DUMMYFUNCTION("""COMPUTED_VALUE"""),"- Как правильно создать профили и аккаунты для продвижения бизнеса в социальных сетях 
- Как подобрать социальные сети для продвижения 
- Что публиковать в социальных сетях, чтобы привлекать клиентов 
- ТОП-5 каналов привлечения подписчиков в социальные с"&amp;"ети 
- Как вовлекать аудиторию социальных сетей 
- Запуск конкурсов и работа с блогерами 
- Как анализировать результат продвижения в социальных сетях ")</f>
        <v xml:space="preserve">- Как правильно создать профили и аккаунты для продвижения бизнеса в социальных сетях 
- Как подобрать социальные сети для продвижения 
- Что публиковать в социальных сетях, чтобы привлекать клиентов 
- ТОП-5 каналов привлечения подписчиков в социальные сети 
- Как вовлекать аудиторию социальных сетей 
- Запуск конкурсов и работа с блогерами 
- Как анализировать результат продвижения в социальных сетях </v>
      </c>
    </row>
    <row r="955" spans="1:4" ht="25.5" x14ac:dyDescent="0.2">
      <c r="A955" s="1"/>
      <c r="B955" s="4" t="str">
        <f ca="1">IFERROR(__xludf.DUMMYFUNCTION("""COMPUTED_VALUE"""),"Продвижение в интернете и социальных сетях офлайн")</f>
        <v>Продвижение в интернете и социальных сетях офлайн</v>
      </c>
      <c r="C955" s="4" t="str">
        <f ca="1">IFERROR(__xludf.DUMMYFUNCTION("""COMPUTED_VALUE"""),"Стратегия продвижения бизнеса в интернете")</f>
        <v>Стратегия продвижения бизнеса в интернете</v>
      </c>
      <c r="D955" s="1" t="str">
        <f ca="1">IFERROR(__xludf.DUMMYFUNCTION("""COMPUTED_VALUE"""),"- Что такое маркетинг и как его внедрить в бизнес 
- Какие главные параметры в маркетинге для бизнеса
- Воронка продаж в бизнесе — подсчет экономики продвижения бизнеса в интернете 
- Как создать стратегию продвижения на основе своей аудитории, конкуренто"&amp;"в и ниши 
- Как отстроиться от конкурентов и создать уникальный бренд 
- Проработка портретов клиентов и предложений для них 
- Этапы запуска продвижения бизнеса в интернете 
- Набор основных каналов и инструментов для продвижения ")</f>
        <v xml:space="preserve">- Что такое маркетинг и как его внедрить в бизнес 
- Какие главные параметры в маркетинге для бизнеса
- Воронка продаж в бизнесе — подсчет экономики продвижения бизнеса в интернете 
- Как создать стратегию продвижения на основе своей аудитории, конкурентов и ниши 
- Как отстроиться от конкурентов и создать уникальный бренд 
- Проработка портретов клиентов и предложений для них 
- Этапы запуска продвижения бизнеса в интернете 
- Набор основных каналов и инструментов для продвижения </v>
      </c>
    </row>
    <row r="956" spans="1:4" ht="38.25" x14ac:dyDescent="0.2">
      <c r="A956" s="1"/>
      <c r="B956" s="4" t="str">
        <f ca="1">IFERROR(__xludf.DUMMYFUNCTION("""COMPUTED_VALUE"""),"Продвижение в интернете и социальных сетях офлайн")</f>
        <v>Продвижение в интернете и социальных сетях офлайн</v>
      </c>
      <c r="C956" s="4" t="str">
        <f ca="1">IFERROR(__xludf.DUMMYFUNCTION("""COMPUTED_VALUE"""),"Контекстная реклама и работа с подрядчиками 
")</f>
        <v xml:space="preserve">Контекстная реклама и работа с подрядчиками 
</v>
      </c>
      <c r="D956" s="1" t="str">
        <f ca="1">IFERROR(__xludf.DUMMYFUNCTION("""COMPUTED_VALUE"""),"- Как работает контекстная реклама и ее алгоритмы 
- Как правильно собрать поисковые запросы потенциальных клиентов 
- Запуск рекламы в поиске и медийная реклама (РСЯ и КМС) 
- Проработка текстов и офферов в контекстной рекламе 
- Коммуникация с подрядчик"&amp;"ом и отчетность 
- Какие данные нужно анализировать для разных каналов маркетинга 
- Договора и оплата работы исполнителю 
")</f>
        <v xml:space="preserve">- Как работает контекстная реклама и ее алгоритмы 
- Как правильно собрать поисковые запросы потенциальных клиентов 
- Запуск рекламы в поиске и медийная реклама (РСЯ и КМС) 
- Проработка текстов и офферов в контекстной рекламе 
- Коммуникация с подрядчиком и отчетность 
- Какие данные нужно анализировать для разных каналов маркетинга 
- Договора и оплата работы исполнителю 
</v>
      </c>
    </row>
    <row r="957" spans="1:4" ht="25.5" x14ac:dyDescent="0.2">
      <c r="A957" s="1"/>
      <c r="B957" s="4" t="str">
        <f ca="1">IFERROR(__xludf.DUMMYFUNCTION("""COMPUTED_VALUE"""),"Гостиничный бизнес и туризм онлайн")</f>
        <v>Гостиничный бизнес и туризм онлайн</v>
      </c>
      <c r="C957" s="4" t="str">
        <f ca="1">IFERROR(__xludf.DUMMYFUNCTION("""COMPUTED_VALUE"""),"Прибыльный отель, часть 1")</f>
        <v>Прибыльный отель, часть 1</v>
      </c>
      <c r="D957" s="1" t="str">
        <f ca="1">IFERROR(__xludf.DUMMYFUNCTION("""COMPUTED_VALUE"""),"- Основные принципы ведения отельного бизнеса
- Понимание сервиса. Внутренние и внешние клиенты
- Масштабирование без ухудшения качества предоставления услуг
- Юридические аспекты работы отеля
- Конкуренты. Отстройка позиционирования от конкурентов
- Скри"&amp;"пты и формы для сервиса и нативных дополнительных продаж")</f>
        <v>- Основные принципы ведения отельного бизнеса
- Понимание сервиса. Внутренние и внешние клиенты
- Масштабирование без ухудшения качества предоставления услуг
- Юридические аспекты работы отеля
- Конкуренты. Отстройка позиционирования от конкурентов
- Скрипты и формы для сервиса и нативных дополнительных продаж</v>
      </c>
    </row>
    <row r="958" spans="1:4" ht="25.5" x14ac:dyDescent="0.2">
      <c r="A958" s="1"/>
      <c r="B958" s="4" t="str">
        <f ca="1">IFERROR(__xludf.DUMMYFUNCTION("""COMPUTED_VALUE"""),"Гостиничный бизнес и туризм онлайн")</f>
        <v>Гостиничный бизнес и туризм онлайн</v>
      </c>
      <c r="C958" s="4" t="str">
        <f ca="1">IFERROR(__xludf.DUMMYFUNCTION("""COMPUTED_VALUE"""),"Прибыльный отель, часть 2")</f>
        <v>Прибыльный отель, часть 2</v>
      </c>
      <c r="D958" s="1" t="str">
        <f ca="1">IFERROR(__xludf.DUMMYFUNCTION("""COMPUTED_VALUE"""),"- Настройка процессов в отеле
- Как платить достойные зарплаты, не уходя в минус
- Мотивация линейных и руководящих сотрудников
- Позиционирование отеля, хостела и апартаментов
- Как делать прекрасные отзывы без дополнительных вложений
- Работа с проблемн"&amp;"ыми гостями
- Секреты заселения гостя")</f>
        <v>- Настройка процессов в отеле
- Как платить достойные зарплаты, не уходя в минус
- Мотивация линейных и руководящих сотрудников
- Позиционирование отеля, хостела и апартаментов
- Как делать прекрасные отзывы без дополнительных вложений
- Работа с проблемными гостями
- Секреты заселения гостя</v>
      </c>
    </row>
    <row r="959" spans="1:4" ht="38.25" x14ac:dyDescent="0.2">
      <c r="A959" s="1"/>
      <c r="B959" s="4" t="str">
        <f ca="1">IFERROR(__xludf.DUMMYFUNCTION("""COMPUTED_VALUE"""),"Гостиничный бизнес и туризм онлайн")</f>
        <v>Гостиничный бизнес и туризм онлайн</v>
      </c>
      <c r="C959" s="4" t="str">
        <f ca="1">IFERROR(__xludf.DUMMYFUNCTION("""COMPUTED_VALUE"""),"Как автоматизировать и наладить работу в отеле, хостеле или апартаментах, часть 1")</f>
        <v>Как автоматизировать и наладить работу в отеле, хостеле или апартаментах, часть 1</v>
      </c>
      <c r="D959" s="1" t="str">
        <f ca="1">IFERROR(__xludf.DUMMYFUNCTION("""COMPUTED_VALUE"""),"- Проверенные способы увеличения дохода МСР
- Дополнительный доход в отеле
- Управление доходами, прогнозирование продаж отеля
- Уничтожение кассовых разрывов
- Каналы продаж для каждого МСР
- Инструменты продвижения отеля: онлайн и оффлайн
- Овербукинг: "&amp;"предотвращение заранее, нивелирование в процессе, решения на
будущее")</f>
        <v>- Проверенные способы увеличения дохода МСР
- Дополнительный доход в отеле
- Управление доходами, прогнозирование продаж отеля
- Уничтожение кассовых разрывов
- Каналы продаж для каждого МСР
- Инструменты продвижения отеля: онлайн и оффлайн
- Овербукинг: предотвращение заранее, нивелирование в процессе, решения на
будущее</v>
      </c>
    </row>
    <row r="960" spans="1:4" ht="38.25" x14ac:dyDescent="0.2">
      <c r="A960" s="1"/>
      <c r="B960" s="4" t="str">
        <f ca="1">IFERROR(__xludf.DUMMYFUNCTION("""COMPUTED_VALUE"""),"Гостиничный бизнес и туризм онлайн")</f>
        <v>Гостиничный бизнес и туризм онлайн</v>
      </c>
      <c r="C960" s="4" t="str">
        <f ca="1">IFERROR(__xludf.DUMMYFUNCTION("""COMPUTED_VALUE"""),"Как автоматизировать и наладить работу в отеле, хостеле или апартаментах, часть 2")</f>
        <v>Как автоматизировать и наладить работу в отеле, хостеле или апартаментах, часть 2</v>
      </c>
      <c r="D960" s="1" t="str">
        <f ca="1">IFERROR(__xludf.DUMMYFUNCTION("""COMPUTED_VALUE"""),"- Психология и сервис в отеле
- Как сохранять дистанцию между администратором и постоянным гостем
- Разрешение конфликтных ситуаций линейными сотрудниками
- Преждевременное выселение гостя
- Что делать, если гость ведет себя крайне неадекватно, но пришел "&amp;"он с Booking
или другого крупного OTA
- Как удержать гостя в отеле, если его не устраивает номер при заселении")</f>
        <v>- Психология и сервис в отеле
- Как сохранять дистанцию между администратором и постоянным гостем
- Разрешение конфликтных ситуаций линейными сотрудниками
- Преждевременное выселение гостя
- Что делать, если гость ведет себя крайне неадекватно, но пришел он с Booking
или другого крупного OTA
- Как удержать гостя в отеле, если его не устраивает номер при заселении</v>
      </c>
    </row>
    <row r="961" spans="1:4" ht="25.5" x14ac:dyDescent="0.2">
      <c r="A961" s="1"/>
      <c r="B961" s="4" t="str">
        <f ca="1">IFERROR(__xludf.DUMMYFUNCTION("""COMPUTED_VALUE"""),"Гостиничный бизнес и туризм онлайн")</f>
        <v>Гостиничный бизнес и туризм онлайн</v>
      </c>
      <c r="C961" s="4" t="str">
        <f ca="1">IFERROR(__xludf.DUMMYFUNCTION("""COMPUTED_VALUE"""),"Управление компанией через лидерство")</f>
        <v>Управление компанией через лидерство</v>
      </c>
      <c r="D961" s="1" t="str">
        <f ca="1">IFERROR(__xludf.DUMMYFUNCTION("""COMPUTED_VALUE"""),"- Менеджмент – должен быть регулярным
- Смелость залог многих побед. Как это работает?
- Техника ежедневных целей
- Как интуиция помогает лидеру? Развитие интуиции и концентрации внимания
через упражнения
- Построение системы управления по целям
- Примеры"&amp;" проектной работы управления по целям")</f>
        <v>- Менеджмент – должен быть регулярным
- Смелость залог многих побед. Как это работает?
- Техника ежедневных целей
- Как интуиция помогает лидеру? Развитие интуиции и концентрации внимания
через упражнения
- Построение системы управления по целям
- Примеры проектной работы управления по целям</v>
      </c>
    </row>
    <row r="962" spans="1:4" ht="25.5" x14ac:dyDescent="0.2">
      <c r="A962" s="1"/>
      <c r="B962" s="4" t="str">
        <f ca="1">IFERROR(__xludf.DUMMYFUNCTION("""COMPUTED_VALUE"""),"Гостиничный бизнес и туризм онлайн")</f>
        <v>Гостиничный бизнес и туризм онлайн</v>
      </c>
      <c r="C962" s="4" t="str">
        <f ca="1">IFERROR(__xludf.DUMMYFUNCTION("""COMPUTED_VALUE"""),"Продвижение в интернете (Яндекс, Гугл, СЕО, реклама)")</f>
        <v>Продвижение в интернете (Яндекс, Гугл, СЕО, реклама)</v>
      </c>
      <c r="D962" s="1" t="str">
        <f ca="1">IFERROR(__xludf.DUMMYFUNCTION("""COMPUTED_VALUE"""),"- SMM: что отелям искать в соцсетях: работа с микроинфлюенсерами и прямая коммуникация с потенциальными гостями внутри соцсетей, минуя сайт
- Переворот стратегии контекстной рекламы
- Мессенджеры: использование авторассылок. WhatsApp становится официальны"&amp;"м каналом коммуникации")</f>
        <v>- SMM: что отелям искать в соцсетях: работа с микроинфлюенсерами и прямая коммуникация с потенциальными гостями внутри соцсетей, минуя сайт
- Переворот стратегии контекстной рекламы
- Мессенджеры: использование авторассылок. WhatsApp становится официальным каналом коммуникации</v>
      </c>
    </row>
    <row r="963" spans="1:4" ht="25.5" x14ac:dyDescent="0.2">
      <c r="A963" s="1"/>
      <c r="B963" s="4" t="str">
        <f ca="1">IFERROR(__xludf.DUMMYFUNCTION("""COMPUTED_VALUE"""),"Гостиничный бизнес и туризм онлайн")</f>
        <v>Гостиничный бизнес и туризм онлайн</v>
      </c>
      <c r="C963" s="4" t="str">
        <f ca="1">IFERROR(__xludf.DUMMYFUNCTION("""COMPUTED_VALUE"""),"Юридические аспекты для защиты бизнеса")</f>
        <v>Юридические аспекты для защиты бизнеса</v>
      </c>
      <c r="D963" s="1" t="str">
        <f ca="1">IFERROR(__xludf.DUMMYFUNCTION("""COMPUTED_VALUE"""),"- Обжалование штрафов и разрешение споров
- Правовые рекомендации по разработке правил посещения общепита
- Рекомендации по выстраиванию договорной работы: основные рабочие
договоры, ошибки при заключении, исполнении договоров поставки, аренды и др.")</f>
        <v>- Обжалование штрафов и разрешение споров
- Правовые рекомендации по разработке правил посещения общепита
- Рекомендации по выстраиванию договорной работы: основные рабочие
договоры, ошибки при заключении, исполнении договоров поставки, аренды и др.</v>
      </c>
    </row>
    <row r="964" spans="1:4" ht="25.5" x14ac:dyDescent="0.2">
      <c r="A964" s="1"/>
      <c r="B964" s="4" t="str">
        <f ca="1">IFERROR(__xludf.DUMMYFUNCTION("""COMPUTED_VALUE"""),"Гостиничный бизнес и туризм онлайн")</f>
        <v>Гостиничный бизнес и туризм онлайн</v>
      </c>
      <c r="C964" s="4" t="str">
        <f ca="1">IFERROR(__xludf.DUMMYFUNCTION("""COMPUTED_VALUE"""),"Эффективный хаускипинг")</f>
        <v>Эффективный хаускипинг</v>
      </c>
      <c r="D964" s="1" t="str">
        <f ca="1">IFERROR(__xludf.DUMMYFUNCTION("""COMPUTED_VALUE"""),"- Стандарты отдела гостиничного хозяйства:
1. уборка номера (обязательные требования конечного результата уборки)
2. услуга вечерний сервис
3. стандарты номера при заезде гостя
4. порядок контроля за номерами
- Технология уборки номерного фонда: порядок и"&amp;" виды уборки, инвентарь,
рабочая документация, химические средства")</f>
        <v>- Стандарты отдела гостиничного хозяйства:
1. уборка номера (обязательные требования конечного результата уборки)
2. услуга вечерний сервис
3. стандарты номера при заезде гостя
4. порядок контроля за номерами
- Технология уборки номерного фонда: порядок и виды уборки, инвентарь,
рабочая документация, химические средства</v>
      </c>
    </row>
    <row r="965" spans="1:4" ht="25.5" x14ac:dyDescent="0.2">
      <c r="A965" s="1"/>
      <c r="B965" s="4" t="str">
        <f ca="1">IFERROR(__xludf.DUMMYFUNCTION("""COMPUTED_VALUE"""),"Гостиничный бизнес и туризм онлайн")</f>
        <v>Гостиничный бизнес и туризм онлайн</v>
      </c>
      <c r="C965" s="4" t="str">
        <f ca="1">IFERROR(__xludf.DUMMYFUNCTION("""COMPUTED_VALUE"""),"Увеличение продаж и среднего чека в отеле")</f>
        <v>Увеличение продаж и среднего чека в отеле</v>
      </c>
      <c r="D965" s="1" t="str">
        <f ca="1">IFERROR(__xludf.DUMMYFUNCTION("""COMPUTED_VALUE"""),"- Основы CRM
- Этапы внедрения
- С чего начать: структура проектной команды; как подготовить требования для ТЗ; основные ошибки интеграции
- Кейсы: SOHO Family Halls, Ribambelle, МФК Мореон
")</f>
        <v xml:space="preserve">- Основы CRM
- Этапы внедрения
- С чего начать: структура проектной команды; как подготовить требования для ТЗ; основные ошибки интеграции
- Кейсы: SOHO Family Halls, Ribambelle, МФК Мореон
</v>
      </c>
    </row>
    <row r="966" spans="1:4" ht="25.5" x14ac:dyDescent="0.2">
      <c r="A966" s="1"/>
      <c r="B966" s="4" t="str">
        <f ca="1">IFERROR(__xludf.DUMMYFUNCTION("""COMPUTED_VALUE"""),"Гостиничный бизнес и туризм онлайн")</f>
        <v>Гостиничный бизнес и туризм онлайн</v>
      </c>
      <c r="C966" s="4" t="str">
        <f ca="1">IFERROR(__xludf.DUMMYFUNCTION("""COMPUTED_VALUE"""),"Практикум методик личных переговоров")</f>
        <v>Практикум методик личных переговоров</v>
      </c>
      <c r="D966" s="1" t="str">
        <f ca="1">IFERROR(__xludf.DUMMYFUNCTION("""COMPUTED_VALUE"""),"- Внутренние состояния и работа со страхом переговоров
- Три кита переговорных техник
- Чем отличаются переговоры по телефону, в чатах и вживую?
- Квалифицирующие вопросы и оценка перспективы диалога
- Создаём сильную переговорную позицию
- Подготовка к п"&amp;"ереговорам")</f>
        <v>- Внутренние состояния и работа со страхом переговоров
- Три кита переговорных техник
- Чем отличаются переговоры по телефону, в чатах и вживую?
- Квалифицирующие вопросы и оценка перспективы диалога
- Создаём сильную переговорную позицию
- Подготовка к переговорам</v>
      </c>
    </row>
    <row r="967" spans="1:4" ht="38.25" x14ac:dyDescent="0.2">
      <c r="A967" s="1"/>
      <c r="B967" s="4" t="str">
        <f ca="1">IFERROR(__xludf.DUMMYFUNCTION("""COMPUTED_VALUE"""),"Гостиничный бизнес и туризм онлайн")</f>
        <v>Гостиничный бизнес и туризм онлайн</v>
      </c>
      <c r="C967" s="4" t="str">
        <f ca="1">IFERROR(__xludf.DUMMYFUNCTION("""COMPUTED_VALUE"""),"Мотивация в жизни предпринимателя. Как пережить сложности и не сломаться")</f>
        <v>Мотивация в жизни предпринимателя. Как пережить сложности и не сломаться</v>
      </c>
      <c r="D967" s="1" t="str">
        <f ca="1">IFERROR(__xludf.DUMMYFUNCTION("""COMPUTED_VALUE"""),"- Бизнес – мифы, легенды и реальность
- Что мешает предпринимателю вырасти в крупного бизнесмена?
- Сложности и преграды на пути к успеху
- Почему нужно идти туда, где сложно?
- Точки роста настоящего предпринимателя
- Мотивация – где ее взять
- Обман пер"&amp;"сонала, ушедшие клиенты, долги в бизнесе, предательства в бизнесе – как это прожить и
стать сильнее")</f>
        <v>- Бизнес – мифы, легенды и реальность
- Что мешает предпринимателю вырасти в крупного бизнесмена?
- Сложности и преграды на пути к успеху
- Почему нужно идти туда, где сложно?
- Точки роста настоящего предпринимателя
- Мотивация – где ее взять
- Обман персонала, ушедшие клиенты, долги в бизнесе, предательства в бизнесе – как это прожить и
стать сильнее</v>
      </c>
    </row>
    <row r="968" spans="1:4" ht="25.5" x14ac:dyDescent="0.2">
      <c r="A968" s="1"/>
      <c r="B968" s="4" t="str">
        <f ca="1">IFERROR(__xludf.DUMMYFUNCTION("""COMPUTED_VALUE"""),"Гостиничный бизнес и туризм онлайн")</f>
        <v>Гостиничный бизнес и туризм онлайн</v>
      </c>
      <c r="C968" s="4" t="str">
        <f ca="1">IFERROR(__xludf.DUMMYFUNCTION("""COMPUTED_VALUE"""),"Эффективная и законная работа прачечной")</f>
        <v>Эффективная и законная работа прачечной</v>
      </c>
      <c r="D968" s="1" t="str">
        <f ca="1">IFERROR(__xludf.DUMMYFUNCTION("""COMPUTED_VALUE"""),"- Законодательная база по организации прачечной
- Собственная прачечная: стандарты работы и организация с нуля
- Взаимодействие с аутсорсинговыми компаниями, как выбрать подходящую компанию 
- Химические средства в прачечной и технологические процессы сти"&amp;"рки белья
- Расчёт стоимости стирки и экономия денежных средств из бюджета компании")</f>
        <v>- Законодательная база по организации прачечной
- Собственная прачечная: стандарты работы и организация с нуля
- Взаимодействие с аутсорсинговыми компаниями, как выбрать подходящую компанию 
- Химические средства в прачечной и технологические процессы стирки белья
- Расчёт стоимости стирки и экономия денежных средств из бюджета компании</v>
      </c>
    </row>
    <row r="969" spans="1:4" ht="51" x14ac:dyDescent="0.2">
      <c r="A969" s="1"/>
      <c r="B969" s="4" t="str">
        <f ca="1">IFERROR(__xludf.DUMMYFUNCTION("""COMPUTED_VALUE"""),"Гостиничный бизнес и туризм онлайн")</f>
        <v>Гостиничный бизнес и туризм онлайн</v>
      </c>
      <c r="C969" s="4" t="str">
        <f ca="1">IFERROR(__xludf.DUMMYFUNCTION("""COMPUTED_VALUE"""),"Продажи и доход (revenue-менеджмент и работа с ОТА-каналами для отелей, хостелов, апартаментов)")</f>
        <v>Продажи и доход (revenue-менеджмент и работа с ОТА-каналами для отелей, хостелов, апартаментов)</v>
      </c>
      <c r="D969" s="1" t="str">
        <f ca="1">IFERROR(__xludf.DUMMYFUNCTION("""COMPUTED_VALUE"""),"- Основные параметры отеля 
- Первичная работа со статистикой
- Подсчет пикапа
- Основы прогнозирования и планирования
- Ликвидация низкого сезона
- Как не демпинговать, теряя выручку и делая большие скидки
- Работа с промоакциями
- Работа с тарифными пла"&amp;"нами
- Лайфхаки отельеров для увеличения доходности объекта
- Овербукинг: его последствия и возможности")</f>
        <v>- Основные параметры отеля 
- Первичная работа со статистикой
- Подсчет пикапа
- Основы прогнозирования и планирования
- Ликвидация низкого сезона
- Как не демпинговать, теряя выручку и делая большие скидки
- Работа с промоакциями
- Работа с тарифными планами
- Лайфхаки отельеров для увеличения доходности объекта
- Овербукинг: его последствия и возможности</v>
      </c>
    </row>
    <row r="970" spans="1:4" ht="25.5" x14ac:dyDescent="0.2">
      <c r="A970" s="1"/>
      <c r="B970" s="4" t="str">
        <f ca="1">IFERROR(__xludf.DUMMYFUNCTION("""COMPUTED_VALUE"""),"Гостиничный бизнес и туризм онлайн")</f>
        <v>Гостиничный бизнес и туризм онлайн</v>
      </c>
      <c r="C970" s="4" t="str">
        <f ca="1">IFERROR(__xludf.DUMMYFUNCTION("""COMPUTED_VALUE"""),"Закупочная и складская деятельность в отеле. Хаускипинг")</f>
        <v>Закупочная и складская деятельность в отеле. Хаускипинг</v>
      </c>
      <c r="D970" s="1" t="str">
        <f ca="1">IFERROR(__xludf.DUMMYFUNCTION("""COMPUTED_VALUE"""),"- Стандарты косметической продукции
- Инвентарь и оборудование для уборки
- Общие требования к профессиональным химическим средствам
- Организация складов для хранения инвентаря и химических средств
- Стандарты и требования при закупке и использовании пос"&amp;"тельного белья и инвентаря, декоративного текстиля
- Поэтажные бельевые склады, организация хранения и контроля ")</f>
        <v xml:space="preserve">- Стандарты косметической продукции
- Инвентарь и оборудование для уборки
- Общие требования к профессиональным химическим средствам
- Организация складов для хранения инвентаря и химических средств
- Стандарты и требования при закупке и использовании постельного белья и инвентаря, декоративного текстиля
- Поэтажные бельевые склады, организация хранения и контроля </v>
      </c>
    </row>
    <row r="971" spans="1:4" ht="25.5" x14ac:dyDescent="0.2">
      <c r="A971" s="1"/>
      <c r="B971" s="4" t="str">
        <f ca="1">IFERROR(__xludf.DUMMYFUNCTION("""COMPUTED_VALUE"""),"Гостиничный бизнес и туризм онлайн")</f>
        <v>Гостиничный бизнес и туризм онлайн</v>
      </c>
      <c r="C971" s="4" t="str">
        <f ca="1">IFERROR(__xludf.DUMMYFUNCTION("""COMPUTED_VALUE"""),"Ценовая политика в отеле, хостеле и апартаментах")</f>
        <v>Ценовая политика в отеле, хостеле и апартаментах</v>
      </c>
      <c r="D971" s="1" t="str">
        <f ca="1">IFERROR(__xludf.DUMMYFUNCTION("""COMPUTED_VALUE"""),"- Виды ценообразования. Как поставить правильную цену 
- Вариативные и динамические тарифы — в чём разница? 
- Когда следует применять динамические цены. Реальные кейсы 
- Когда следует применять вариативные тарифы. Реальные кейсы 
- Гибридная модель, как"&amp;" объединить динамику и контрактные тарифы
- Пример построения тарифной сетки  
")</f>
        <v xml:space="preserve">- Виды ценообразования. Как поставить правильную цену 
- Вариативные и динамические тарифы — в чём разница? 
- Когда следует применять динамические цены. Реальные кейсы 
- Когда следует применять вариативные тарифы. Реальные кейсы 
- Гибридная модель, как объединить динамику и контрактные тарифы
- Пример построения тарифной сетки  
</v>
      </c>
    </row>
    <row r="972" spans="1:4" ht="38.25" x14ac:dyDescent="0.2">
      <c r="A972" s="1"/>
      <c r="B972" s="4" t="str">
        <f ca="1">IFERROR(__xludf.DUMMYFUNCTION("""COMPUTED_VALUE"""),"Гостиничный бизнес и туризм онлайн")</f>
        <v>Гостиничный бизнес и туризм онлайн</v>
      </c>
      <c r="C972" s="4" t="str">
        <f ca="1">IFERROR(__xludf.DUMMYFUNCTION("""COMPUTED_VALUE"""),"Пиар и Маркетинг без вложений: как предпринимателю получить полосу о себе за 0 рублей?")</f>
        <v>Пиар и Маркетинг без вложений: как предпринимателю получить полосу о себе за 0 рублей?</v>
      </c>
      <c r="D972" s="1" t="str">
        <f ca="1">IFERROR(__xludf.DUMMYFUNCTION("""COMPUTED_VALUE"""),"- ЛИД и как его применять
- Как найти «свои» СМИ?
- Как решать конфликты с журналистами?
- Правила написания пресс-релиза
- Как делать «цепляющие» и продающие заголовки?
- Как делать инфоповоды?
- 10 правил от действующего журналиста 
- Что сделать, чтобы"&amp;" СМИ искали вас сами?")</f>
        <v>- ЛИД и как его применять
- Как найти «свои» СМИ?
- Как решать конфликты с журналистами?
- Правила написания пресс-релиза
- Как делать «цепляющие» и продающие заголовки?
- Как делать инфоповоды?
- 10 правил от действующего журналиста 
- Что сделать, чтобы СМИ искали вас сами?</v>
      </c>
    </row>
    <row r="973" spans="1:4" ht="51" x14ac:dyDescent="0.2">
      <c r="A973" s="1"/>
      <c r="B973" s="4" t="str">
        <f ca="1">IFERROR(__xludf.DUMMYFUNCTION("""COMPUTED_VALUE"""),"Гостиничный бизнес и туризм онлайн")</f>
        <v>Гостиничный бизнес и туризм онлайн</v>
      </c>
      <c r="C973" s="4" t="str">
        <f ca="1">IFERROR(__xludf.DUMMYFUNCTION("""COMPUTED_VALUE"""),"Эффективное общение. Эмоциональные продажи в гостиничном и ресторанном бизнесе")</f>
        <v>Эффективное общение. Эмоциональные продажи в гостиничном и ресторанном бизнесе</v>
      </c>
      <c r="D973" s="1" t="str">
        <f ca="1">IFERROR(__xludf.DUMMYFUNCTION("""COMPUTED_VALUE"""),"- Лучший продажник — артист разговорного жанра
- Импровизации и что нам мешает смело и ярко проявляться 
- Практика в упражнениях на скорость мышления и красноречие 
- Как управлять эмоциями и как их переключать, по системе М. Чехова 
- Типология личности"&amp;" при помощи техники «Винни Пух»")</f>
        <v>- Лучший продажник — артист разговорного жанра
- Импровизации и что нам мешает смело и ярко проявляться 
- Практика в упражнениях на скорость мышления и красноречие 
- Как управлять эмоциями и как их переключать, по системе М. Чехова 
- Типология личности при помощи техники «Винни Пух»</v>
      </c>
    </row>
    <row r="974" spans="1:4" ht="25.5" x14ac:dyDescent="0.2">
      <c r="A974" s="1"/>
      <c r="B974" s="4" t="str">
        <f ca="1">IFERROR(__xludf.DUMMYFUNCTION("""COMPUTED_VALUE"""),"Гостиничный бизнес и туризм онлайн")</f>
        <v>Гостиничный бизнес и туризм онлайн</v>
      </c>
      <c r="C974" s="4" t="str">
        <f ca="1">IFERROR(__xludf.DUMMYFUNCTION("""COMPUTED_VALUE"""),"Бухгалтерия и автоматизация для отелей")</f>
        <v>Бухгалтерия и автоматизация для отелей</v>
      </c>
      <c r="D974" s="1" t="str">
        <f ca="1">IFERROR(__xludf.DUMMYFUNCTION("""COMPUTED_VALUE"""),"- Плюсы и минусы ИП, ООО, НПД (самозанятые)
- Выбор системы налогообложения 
- Опасные схемы оптимизации
- Документооборот
- Отчётность
- Контроль бухгалтерии")</f>
        <v>- Плюсы и минусы ИП, ООО, НПД (самозанятые)
- Выбор системы налогообложения 
- Опасные схемы оптимизации
- Документооборот
- Отчётность
- Контроль бухгалтерии</v>
      </c>
    </row>
    <row r="975" spans="1:4" ht="25.5" x14ac:dyDescent="0.2">
      <c r="A975" s="1"/>
      <c r="B975" s="4" t="str">
        <f ca="1">IFERROR(__xludf.DUMMYFUNCTION("""COMPUTED_VALUE"""),"Гостиничный бизнес и туризм онлайн")</f>
        <v>Гостиничный бизнес и туризм онлайн</v>
      </c>
      <c r="C975" s="4" t="str">
        <f ca="1">IFERROR(__xludf.DUMMYFUNCTION("""COMPUTED_VALUE"""),"Финансы и отчеты в жизни отельера")</f>
        <v>Финансы и отчеты в жизни отельера</v>
      </c>
      <c r="D975" s="1" t="str">
        <f ca="1">IFERROR(__xludf.DUMMYFUNCTION("""COMPUTED_VALUE"""),"- Маржинальность, доходы, оборотные средства
- 100% заполняемость — всегда ли это про доход?
- ДДС, БДР — что это и почему необходимо?
- Виды и формы обязательных отчетов для любого предпринимателя
- Ежедневный отчет — форма и наполнение для продуктивного"&amp;" контроля своего бизнеса
- Реперные точки проекта: что нельзя отпускать, чтобы не потерять свой бизнес ")</f>
        <v xml:space="preserve">- Маржинальность, доходы, оборотные средства
- 100% заполняемость — всегда ли это про доход?
- ДДС, БДР — что это и почему необходимо?
- Виды и формы обязательных отчетов для любого предпринимателя
- Ежедневный отчет — форма и наполнение для продуктивного контроля своего бизнеса
- Реперные точки проекта: что нельзя отпускать, чтобы не потерять свой бизнес </v>
      </c>
    </row>
    <row r="976" spans="1:4" ht="25.5" x14ac:dyDescent="0.2">
      <c r="A976" s="1"/>
      <c r="B976" s="4" t="str">
        <f ca="1">IFERROR(__xludf.DUMMYFUNCTION("""COMPUTED_VALUE"""),"Гостиничный бизнес и туризм онлайн")</f>
        <v>Гостиничный бизнес и туризм онлайн</v>
      </c>
      <c r="C976" s="4" t="str">
        <f ca="1">IFERROR(__xludf.DUMMYFUNCTION("""COMPUTED_VALUE"""),"Отдел продаж: что докрутить, чтобы получить рост продаж?")</f>
        <v>Отдел продаж: что докрутить, чтобы получить рост продаж?</v>
      </c>
      <c r="D976" s="1" t="str">
        <f ca="1">IFERROR(__xludf.DUMMYFUNCTION("""COMPUTED_VALUE"""),"- Система продаж из 10 ключевых действий
- Декомпозировать цель в прибыли в список активностей продавцов
- Каналы и способы продвижения конкретных продуктов
- Когда, сколько и каких продавцов нанимать 
- Тест продажи новых продуктов без затрат
- Скрипты п"&amp;"родаж 
- Система мотивации персонала ""на результат""
- Проводить еженедельные срезы и оперативки по продажам")</f>
        <v>- Система продаж из 10 ключевых действий
- Декомпозировать цель в прибыли в список активностей продавцов
- Каналы и способы продвижения конкретных продуктов
- Когда, сколько и каких продавцов нанимать 
- Тест продажи новых продуктов без затрат
- Скрипты продаж 
- Система мотивации персонала "на результат"
- Проводить еженедельные срезы и оперативки по продажам</v>
      </c>
    </row>
    <row r="977" spans="1:4" ht="25.5" x14ac:dyDescent="0.2">
      <c r="A977" s="1"/>
      <c r="B977" s="4" t="str">
        <f ca="1">IFERROR(__xludf.DUMMYFUNCTION("""COMPUTED_VALUE"""),"Горячая линия онлайн")</f>
        <v>Горячая линия онлайн</v>
      </c>
      <c r="C977" s="4" t="str">
        <f ca="1">IFERROR(__xludf.DUMMYFUNCTION("""COMPUTED_VALUE"""),"3 ШАГА для установки доверия
")</f>
        <v xml:space="preserve">3 ШАГА для установки доверия
</v>
      </c>
      <c r="D977" s="1" t="str">
        <f ca="1">IFERROR(__xludf.DUMMYFUNCTION("""COMPUTED_VALUE"""),"- Выявление важности быть услышанным — интерактив в группе
- Теоретический блок как слушать, слышать и это показать
- Упражнение в парах практика «Контрактинга»")</f>
        <v>- Выявление важности быть услышанным — интерактив в группе
- Теоретический блок как слушать, слышать и это показать
- Упражнение в парах практика «Контрактинга»</v>
      </c>
    </row>
    <row r="978" spans="1:4" ht="25.5" x14ac:dyDescent="0.2">
      <c r="A978" s="1"/>
      <c r="B978" s="4" t="str">
        <f ca="1">IFERROR(__xludf.DUMMYFUNCTION("""COMPUTED_VALUE"""),"Горячая линия онлайн")</f>
        <v>Горячая линия онлайн</v>
      </c>
      <c r="C978" s="4" t="str">
        <f ca="1">IFERROR(__xludf.DUMMYFUNCTION("""COMPUTED_VALUE"""),"Суперспособности горячей линии
")</f>
        <v xml:space="preserve">Суперспособности горячей линии
</v>
      </c>
      <c r="D978" s="1" t="str">
        <f ca="1">IFERROR(__xludf.DUMMYFUNCTION("""COMPUTED_VALUE"""),"- Проблематизация отношений с клиентами «Как сейчас» 
- Теоретический блок о модели сервиса и роли метафоры в работе с клиентами 
- Создание вдохновляющей модели сервиса для команды
- Генерация идей и метафор индивидуально подходящих каждому")</f>
        <v>- Проблематизация отношений с клиентами «Как сейчас» 
- Теоретический блок о модели сервиса и роли метафоры в работе с клиентами 
- Создание вдохновляющей модели сервиса для команды
- Генерация идей и метафор индивидуально подходящих каждому</v>
      </c>
    </row>
    <row r="979" spans="1:4" ht="25.5" x14ac:dyDescent="0.2">
      <c r="A979" s="1"/>
      <c r="B979" s="4" t="str">
        <f ca="1">IFERROR(__xludf.DUMMYFUNCTION("""COMPUTED_VALUE"""),"Горячая линия онлайн")</f>
        <v>Горячая линия онлайн</v>
      </c>
      <c r="C979" s="4" t="str">
        <f ca="1">IFERROR(__xludf.DUMMYFUNCTION("""COMPUTED_VALUE"""),"Чего хотят клиенты
")</f>
        <v xml:space="preserve">Чего хотят клиенты
</v>
      </c>
      <c r="D979" s="1" t="str">
        <f ca="1">IFERROR(__xludf.DUMMYFUNCTION("""COMPUTED_VALUE"""),"- Практика проявления эмпатии 
- Теоретический блок о способах проявления эмпатии 
- Практика проживания опыта
- Определение и кластеризация болей и потребностей клиентов при взаимодействии с горячей линией 
- Формирование и выбор идей для дальнейшей рабо"&amp;"ты")</f>
        <v>- Практика проявления эмпатии 
- Теоретический блок о способах проявления эмпатии 
- Практика проживания опыта
- Определение и кластеризация болей и потребностей клиентов при взаимодействии с горячей линией 
- Формирование и выбор идей для дальнейшей работы</v>
      </c>
    </row>
    <row r="980" spans="1:4" ht="25.5" x14ac:dyDescent="0.2">
      <c r="A980" s="1"/>
      <c r="B980" s="4" t="str">
        <f ca="1">IFERROR(__xludf.DUMMYFUNCTION("""COMPUTED_VALUE"""),"Горячая линия онлайн")</f>
        <v>Горячая линия онлайн</v>
      </c>
      <c r="C980" s="4" t="str">
        <f ca="1">IFERROR(__xludf.DUMMYFUNCTION("""COMPUTED_VALUE"""),"4 сценария работы с клиентом
")</f>
        <v xml:space="preserve">4 сценария работы с клиентом
</v>
      </c>
      <c r="D980" s="1" t="str">
        <f ca="1">IFERROR(__xludf.DUMMYFUNCTION("""COMPUTED_VALUE"""),"- Создание персон клиентов на основе моделей поведения 
- Описание персон клиентов и присвоение им позитивных имен
- Изучение речевых стратегий и правил отклика на них
- Практика узнавания персон и отклика на их запросы")</f>
        <v>- Создание персон клиентов на основе моделей поведения 
- Описание персон клиентов и присвоение им позитивных имен
- Изучение речевых стратегий и правил отклика на них
- Практика узнавания персон и отклика на их запросы</v>
      </c>
    </row>
    <row r="981" spans="1:4" ht="25.5" x14ac:dyDescent="0.2">
      <c r="A981" s="1"/>
      <c r="B981" s="4" t="str">
        <f ca="1">IFERROR(__xludf.DUMMYFUNCTION("""COMPUTED_VALUE"""),"Горячая линия онлайн")</f>
        <v>Горячая линия онлайн</v>
      </c>
      <c r="C981" s="4" t="str">
        <f ca="1">IFERROR(__xludf.DUMMYFUNCTION("""COMPUTED_VALUE"""),"Искусство создания впечатлений
")</f>
        <v xml:space="preserve">Искусство создания впечатлений
</v>
      </c>
      <c r="D981" s="1" t="str">
        <f ca="1">IFERROR(__xludf.DUMMYFUNCTION("""COMPUTED_VALUE"""),"- Погружение в опыт участников
- Формирование критериев лояльности с параметрами оценки 
- Аудит лояльности клиентов как сейчас
- Практика технологии создания впечатлений")</f>
        <v>- Погружение в опыт участников
- Формирование критериев лояльности с параметрами оценки 
- Аудит лояльности клиентов как сейчас
- Практика технологии создания впечатлений</v>
      </c>
    </row>
    <row r="982" spans="1:4" ht="25.5" x14ac:dyDescent="0.2">
      <c r="A982" s="1"/>
      <c r="B982" s="4" t="str">
        <f ca="1">IFERROR(__xludf.DUMMYFUNCTION("""COMPUTED_VALUE"""),"Горячая линия онлайн")</f>
        <v>Горячая линия онлайн</v>
      </c>
      <c r="C982" s="4" t="str">
        <f ca="1">IFERROR(__xludf.DUMMYFUNCTION("""COMPUTED_VALUE"""),"Выбираем CRM
")</f>
        <v xml:space="preserve">Выбираем CRM
</v>
      </c>
      <c r="D982" s="1" t="str">
        <f ca="1">IFERROR(__xludf.DUMMYFUNCTION("""COMPUTED_VALUE"""),"- Создать прототип CRM системы и протестировать на коллегах
- Выявить плюсы и минусы
- Выбрать наиболее подходящую CRM систему из существующих на рынке")</f>
        <v>- Создать прототип CRM системы и протестировать на коллегах
- Выявить плюсы и минусы
- Выбрать наиболее подходящую CRM систему из существующих на рынке</v>
      </c>
    </row>
    <row r="983" spans="1:4" ht="25.5" x14ac:dyDescent="0.2">
      <c r="A983" s="1"/>
      <c r="B983" s="4" t="str">
        <f ca="1">IFERROR(__xludf.DUMMYFUNCTION("""COMPUTED_VALUE"""),"Бизнес-старт для школьников")</f>
        <v>Бизнес-старт для школьников</v>
      </c>
      <c r="C983" s="4" t="str">
        <f ca="1">IFERROR(__xludf.DUMMYFUNCTION("""COMPUTED_VALUE"""),"Мой первый бизнес — возможно или нет?")</f>
        <v>Мой первый бизнес — возможно или нет?</v>
      </c>
      <c r="D983" s="1" t="str">
        <f ca="1">IFERROR(__xludf.DUMMYFUNCTION("""COMPUTED_VALUE"""),"- Как понять с чего начать? Аналитика самых перспективных отраслей для открытия своего бизнеса
- Как найти своё любимое дело и на нем начать зарабатывать?
- 4 этапа по старту своего дела: простой и понятный алгоритм действий
- Как тестировать гипотезы, "&amp;"выбрать прибыльную нишу и составить бизнес-план своей идеи?")</f>
        <v>- Как понять с чего начать? Аналитика самых перспективных отраслей для открытия своего бизнеса
- Как найти своё любимое дело и на нем начать зарабатывать?
- 4 этапа по старту своего дела: простой и понятный алгоритм действий
- Как тестировать гипотезы, выбрать прибыльную нишу и составить бизнес-план своей идеи?</v>
      </c>
    </row>
    <row r="984" spans="1:4" ht="38.25" x14ac:dyDescent="0.2">
      <c r="A984" s="1"/>
      <c r="B984" s="4" t="str">
        <f ca="1">IFERROR(__xludf.DUMMYFUNCTION("""COMPUTED_VALUE"""),"Бизнес-старт для школьников")</f>
        <v>Бизнес-старт для школьников</v>
      </c>
      <c r="C984" s="4" t="str">
        <f ca="1">IFERROR(__xludf.DUMMYFUNCTION("""COMPUTED_VALUE"""),"История предпринимательства в России. Командовать не модно, модно быть командой")</f>
        <v>История предпринимательства в России. Командовать не модно, модно быть командой</v>
      </c>
      <c r="D984" s="1" t="str">
        <f ca="1">IFERROR(__xludf.DUMMYFUNCTION("""COMPUTED_VALUE"""),"- История предпринимательства
- Торговые отношения 
- Создание и управление командой
- Нужна ли команда, с какой скоростью она идёт, на каком языке говорит каждый её член
- Этапы создания команды
- Анализ успешных команд не только из бизнеса
- Каким лидер"&amp;"ом стоит быть
- Индивидуальный план развития ")</f>
        <v xml:space="preserve">- История предпринимательства
- Торговые отношения 
- Создание и управление командой
- Нужна ли команда, с какой скоростью она идёт, на каком языке говорит каждый её член
- Этапы создания команды
- Анализ успешных команд не только из бизнеса
- Каким лидером стоит быть
- Индивидуальный план развития </v>
      </c>
    </row>
    <row r="985" spans="1:4" ht="25.5" x14ac:dyDescent="0.2">
      <c r="A985" s="1"/>
      <c r="B985" s="4" t="str">
        <f ca="1">IFERROR(__xludf.DUMMYFUNCTION("""COMPUTED_VALUE"""),"Бизнес-старт для школьников")</f>
        <v>Бизнес-старт для школьников</v>
      </c>
      <c r="C985" s="4" t="str">
        <f ca="1">IFERROR(__xludf.DUMMYFUNCTION("""COMPUTED_VALUE"""),"10 принципов личного бренда, успешная презентация")</f>
        <v>10 принципов личного бренда, успешная презентация</v>
      </c>
      <c r="D985" s="1" t="str">
        <f ca="1">IFERROR(__xludf.DUMMYFUNCTION("""COMPUTED_VALUE"""),"- Коммуникации между аудиторией и брендом
- Как выбирать визуальный молоток
- Как сообщения стоит транслировать и какими инструментами это делать
- Как делать презентации, которые будут работать без вас
- Создание образа компании (команды) и как на это вл"&amp;"иять
- Простые практики и чек-листы
- Структура презентации своего продукта или услуги инвесторам
- Создание WOW-эффекта благодаря скрайбингу")</f>
        <v>- Коммуникации между аудиторией и брендом
- Как выбирать визуальный молоток
- Как сообщения стоит транслировать и какими инструментами это делать
- Как делать презентации, которые будут работать без вас
- Создание образа компании (команды) и как на это влиять
- Простые практики и чек-листы
- Структура презентации своего продукта или услуги инвесторам
- Создание WOW-эффекта благодаря скрайбингу</v>
      </c>
    </row>
    <row r="986" spans="1:4" ht="25.5" x14ac:dyDescent="0.2">
      <c r="A986" s="1"/>
      <c r="B986" s="4" t="str">
        <f ca="1">IFERROR(__xludf.DUMMYFUNCTION("""COMPUTED_VALUE"""),"Бизнес-старт для школьников")</f>
        <v>Бизнес-старт для школьников</v>
      </c>
      <c r="C986" s="4" t="str">
        <f ca="1">IFERROR(__xludf.DUMMYFUNCTION("""COMPUTED_VALUE"""),"SMM-продвижение, управление и коммуникации, актуальные фишки")</f>
        <v>SMM-продвижение, управление и коммуникации, актуальные фишки</v>
      </c>
      <c r="D986" s="1" t="str">
        <f ca="1">IFERROR(__xludf.DUMMYFUNCTION("""COMPUTED_VALUE"""),"- Разбор соцсетей
- Определение ЦА, для которой планируется вести контент
- Как писать простые и цепляющие тексты, как работать со Stories, чтобы они цепляли людей 
- Почему ваш контент пролистывают?
- Приложения для создания контента
- Тренды социальных "&amp;"сетей, чтобы всегда попадать прямо в цель")</f>
        <v>- Разбор соцсетей
- Определение ЦА, для которой планируется вести контент
- Как писать простые и цепляющие тексты, как работать со Stories, чтобы они цепляли людей 
- Почему ваш контент пролистывают?
- Приложения для создания контента
- Тренды социальных сетей, чтобы всегда попадать прямо в цель</v>
      </c>
    </row>
    <row r="987" spans="1:4" ht="12.75" x14ac:dyDescent="0.2">
      <c r="A987" s="1"/>
      <c r="B987" s="4" t="str">
        <f ca="1">IFERROR(__xludf.DUMMYFUNCTION("""COMPUTED_VALUE"""),"Бизнес-старт для школьников")</f>
        <v>Бизнес-старт для школьников</v>
      </c>
      <c r="C987" s="4" t="str">
        <f ca="1">IFERROR(__xludf.DUMMYFUNCTION("""COMPUTED_VALUE"""),"Звезда продаж")</f>
        <v>Звезда продаж</v>
      </c>
      <c r="D987" s="1" t="str">
        <f ca="1">IFERROR(__xludf.DUMMYFUNCTION("""COMPUTED_VALUE"""),"- Разбор этапов продаж в сегменте B2C
- Основы переговоров в В2С
- Методы импровизации для работы с клиентами
- Типы личности с помощью техники «Винни Пух»
- Как снимать страх перед общением «не по шаблону»
- Создание чек-листа подготовки к переговорам")</f>
        <v>- Разбор этапов продаж в сегменте B2C
- Основы переговоров в В2С
- Методы импровизации для работы с клиентами
- Типы личности с помощью техники «Винни Пух»
- Как снимать страх перед общением «не по шаблону»
- Создание чек-листа подготовки к переговорам</v>
      </c>
    </row>
    <row r="988" spans="1:4" ht="25.5" x14ac:dyDescent="0.2">
      <c r="A988" s="1"/>
      <c r="B988" s="4" t="str">
        <f ca="1">IFERROR(__xludf.DUMMYFUNCTION("""COMPUTED_VALUE"""),"Бизнес-старт для школьников")</f>
        <v>Бизнес-старт для школьников</v>
      </c>
      <c r="C988" s="4" t="str">
        <f ca="1">IFERROR(__xludf.DUMMYFUNCTION("""COMPUTED_VALUE"""),"Бизнес-планирование и привлечение финансов как игра")</f>
        <v>Бизнес-планирование и привлечение финансов как игра</v>
      </c>
      <c r="D988" s="1" t="str">
        <f ca="1">IFERROR(__xludf.DUMMYFUNCTION("""COMPUTED_VALUE"""),"- Первые продажи: с чего начать, как развивать
- Систематизация проекта: что делать, когда поток продаж стабилизировался
- Основы финансового и бизнес-моделирования — зачем необходимы и как пользоваться
- Становление компании: коротко и интересно про бухг"&amp;"алтерию
- Инвестиции и другие возможности")</f>
        <v>- Первые продажи: с чего начать, как развивать
- Систематизация проекта: что делать, когда поток продаж стабилизировался
- Основы финансового и бизнес-моделирования — зачем необходимы и как пользоваться
- Становление компании: коротко и интересно про бухгалтерию
- Инвестиции и другие возможности</v>
      </c>
    </row>
    <row r="989" spans="1:4" ht="25.5" x14ac:dyDescent="0.2">
      <c r="A989" s="1"/>
      <c r="B989" s="4" t="str">
        <f ca="1">IFERROR(__xludf.DUMMYFUNCTION("""COMPUTED_VALUE"""),"Бизнес-старт для школьников")</f>
        <v>Бизнес-старт для школьников</v>
      </c>
      <c r="C989" s="4" t="str">
        <f ca="1">IFERROR(__xludf.DUMMYFUNCTION("""COMPUTED_VALUE"""),"Публичные выступления, важно не ЧТО ты говоришь, а КАК")</f>
        <v>Публичные выступления, важно не ЧТО ты говоришь, а КАК</v>
      </c>
      <c r="D989" s="1" t="str">
        <f ca="1">IFERROR(__xludf.DUMMYFUNCTION("""COMPUTED_VALUE"""),"- Отработка в онлайн-формате умения публичного выступления с помощью авторских техник
- Как управлять своим состоянием на практике
- Методы импровизации для работы с инвесторами, чиновниками и B2B
- Что такое метасообщение и как управлять невербальным пос"&amp;"ылом")</f>
        <v>- Отработка в онлайн-формате умения публичного выступления с помощью авторских техник
- Как управлять своим состоянием на практике
- Методы импровизации для работы с инвесторами, чиновниками и B2B
- Что такое метасообщение и как управлять невербальным посылом</v>
      </c>
    </row>
    <row r="990" spans="1:4" ht="38.25" x14ac:dyDescent="0.2">
      <c r="A990" s="1"/>
      <c r="B990" s="4" t="str">
        <f ca="1">IFERROR(__xludf.DUMMYFUNCTION("""COMPUTED_VALUE"""),"Бизнес-старт для школьников")</f>
        <v>Бизнес-старт для школьников</v>
      </c>
      <c r="C990" s="4" t="str">
        <f ca="1">IFERROR(__xludf.DUMMYFUNCTION("""COMPUTED_VALUE"""),"Project-management. От ручного управления к эффективной работе команды и руководителя")</f>
        <v>Project-management. От ручного управления к эффективной работе команды и руководителя</v>
      </c>
      <c r="D990" s="1" t="str">
        <f ca="1">IFERROR(__xludf.DUMMYFUNCTION("""COMPUTED_VALUE"""),"- Что такое типирование руководителей и как оно производится
- Составление SWOT-анализа руководителя
- Определение системы ценностей — горизонтальные и вертикальные. Что это такое?
- Из каких частей состоит проект и как его сделать
- Разбор методов формир"&amp;"ования команд
- Основы принципов работы Agile, scrum, kanban")</f>
        <v>- Что такое типирование руководителей и как оно производится
- Составление SWOT-анализа руководителя
- Определение системы ценностей — горизонтальные и вертикальные. Что это такое?
- Из каких частей состоит проект и как его сделать
- Разбор методов формирования команд
- Основы принципов работы Agile, scrum, kanban</v>
      </c>
    </row>
    <row r="991" spans="1:4" ht="63.75" x14ac:dyDescent="0.2">
      <c r="A991" s="1"/>
      <c r="B991" s="4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1" s="4" t="str">
        <f ca="1">IFERROR(__xludf.DUMMYFUNCTION("""COMPUTED_VALUE"""),"Стратегический анализ и оценка конкурентных преимуществ предприятий сферы гостеприимства. Аналитика 10 лет: было-стало")</f>
        <v>Стратегический анализ и оценка конкурентных преимуществ предприятий сферы гостеприимства. Аналитика 10 лет: было-стало</v>
      </c>
      <c r="D991" s="1" t="str">
        <f ca="1">IFERROR(__xludf.DUMMYFUNCTION("""COMPUTED_VALUE"""),"- Какие виды МСР существуют: разбираем де-юро и де-факто
- Как разделяются по сегментам отели, хостелы и апартаменты. Экспертный взгляд практика-отельера и хостельера
- В каком МСР какая ЦА и почему
- Где нужен и какой персонал
- Доходность средств размещ"&amp;"ения в разных сегментах. На самом ли деле предприниматели — миллионеры?  Раскрываем все карты
- Что изменилось в индустрии с 1 октября 2019 года?
- Риски индустрии гостеприимства
- Пассивный доход или full time: будни предпринимателя-отельера")</f>
        <v>- Какие виды МСР существуют: разбираем де-юро и де-факто
- Как разделяются по сегментам отели, хостелы и апартаменты. Экспертный взгляд практика-отельера и хостельера
- В каком МСР какая ЦА и почему
- Где нужен и какой персонал
- Доходность средств размещения в разных сегментах. На самом ли деле предприниматели — миллионеры?  Раскрываем все карты
- Что изменилось в индустрии с 1 октября 2019 года?
- Риски индустрии гостеприимства
- Пассивный доход или full time: будни предпринимателя-отельера</v>
      </c>
    </row>
    <row r="992" spans="1:4" ht="38.25" x14ac:dyDescent="0.2">
      <c r="A992" s="1"/>
      <c r="B992" s="4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2" s="4" t="str">
        <f ca="1">IFERROR(__xludf.DUMMYFUNCTION("""COMPUTED_VALUE"""),"Антикризисные действия отельеров (с арендодателями, поставщиками, персоналом)")</f>
        <v>Антикризисные действия отельеров (с арендодателями, поставщиками, персоналом)</v>
      </c>
      <c r="D992" s="1" t="str">
        <f ca="1">IFERROR(__xludf.DUMMYFUNCTION("""COMPUTED_VALUE"""),"- Как и что можно просить у арендодателей: скидки, рассрочка, каникулы. Обратная сторона медали и подводные камни договоренностей
- Персонал: как удержать команду, которой нечем платить? Реперные точки определения того, что в вашей компании сотрудники — н"&amp;"астоящая команда
- Диалог с поставщиками — как договариваться с контрагентами? Не ухудшая свою репутацию, оптимизировать расходы  
- Что делать во время самоизоляции предпринимателю? Эффективно используем время на благо компании")</f>
        <v>- Как и что можно просить у арендодателей: скидки, рассрочка, каникулы. Обратная сторона медали и подводные камни договоренностей
- Персонал: как удержать команду, которой нечем платить? Реперные точки определения того, что в вашей компании сотрудники — настоящая команда
- Диалог с поставщиками — как договариваться с контрагентами? Не ухудшая свою репутацию, оптимизировать расходы  
- Что делать во время самоизоляции предпринимателю? Эффективно используем время на благо компании</v>
      </c>
    </row>
    <row r="993" spans="1:4" ht="38.25" x14ac:dyDescent="0.2">
      <c r="A993" s="1"/>
      <c r="B993" s="4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3" s="4" t="str">
        <f ca="1">IFERROR(__xludf.DUMMYFUNCTION("""COMPUTED_VALUE"""),"Необходимые документы для законной работы отелей, хостелов и апартаментов")</f>
        <v>Необходимые документы для законной работы отелей, хостелов и апартаментов</v>
      </c>
      <c r="D993" s="1" t="str">
        <f ca="1">IFERROR(__xludf.DUMMYFUNCTION("""COMPUTED_VALUE"""),"- Работа с миграционным и регистрационным учётом  
- Проверки и их последствия 
- Роспотребнадзор глазами отельера: проверяем все необходимые требования к МСР 
- Журналы учёта 
- Памятки, стандарты, чек-листы, скрипты и алгоритмы — что нужно отельеру и в "&amp;"каком количестве?")</f>
        <v>- Работа с миграционным и регистрационным учётом  
- Проверки и их последствия 
- Роспотребнадзор глазами отельера: проверяем все необходимые требования к МСР 
- Журналы учёта 
- Памятки, стандарты, чек-листы, скрипты и алгоритмы — что нужно отельеру и в каком количестве?</v>
      </c>
    </row>
    <row r="994" spans="1:4" ht="38.25" x14ac:dyDescent="0.2">
      <c r="A994" s="1"/>
      <c r="B994" s="4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4" s="4" t="str">
        <f ca="1">IFERROR(__xludf.DUMMYFUNCTION("""COMPUTED_VALUE"""),"Безбюджетный Маркетинг и Пиар")</f>
        <v>Безбюджетный Маркетинг и Пиар</v>
      </c>
      <c r="D994" s="1" t="str">
        <f ca="1">IFERROR(__xludf.DUMMYFUNCTION("""COMPUTED_VALUE"""),"- Диалоговый маркетинг и его основные задачи
- Определяем свою ЦА
- Симплификация и ее особенности
- Продающий персонал
- Карта СМИ — зачем она нужна?
- Новость или хайп: как не попасть на удочку ""желтого"" корреспондента и не расстраиваться после неверн"&amp;"ого выпуска вашего интервью?
- Власть и бизнес: конфронтация или дружба? Как поступать, если вы не согласны?
- Как правильно спорить с корреспондентами и можно ли это делать?
- Вы — лидер мнений. Что говорим и показываем?
- Пресс-релиз: делаем правильно
-"&amp;" Как сделать более 700 упоминаний о себе в прессе и дружить с коллегами, гражданами, бизнесом и властью: раскрываем секреты ")</f>
        <v xml:space="preserve">- Диалоговый маркетинг и его основные задачи
- Определяем свою ЦА
- Симплификация и ее особенности
- Продающий персонал
- Карта СМИ — зачем она нужна?
- Новость или хайп: как не попасть на удочку "желтого" корреспондента и не расстраиваться после неверного выпуска вашего интервью?
- Власть и бизнес: конфронтация или дружба? Как поступать, если вы не согласны?
- Как правильно спорить с корреспондентами и можно ли это делать?
- Вы — лидер мнений. Что говорим и показываем?
- Пресс-релиз: делаем правильно
- Как сделать более 700 упоминаний о себе в прессе и дружить с коллегами, гражданами, бизнесом и властью: раскрываем секреты </v>
      </c>
    </row>
    <row r="995" spans="1:4" ht="63.75" x14ac:dyDescent="0.2">
      <c r="A995" s="1"/>
      <c r="B995" s="4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5" s="4" t="str">
        <f ca="1">IFERROR(__xludf.DUMMYFUNCTION("""COMPUTED_VALUE"""),"Бизнес и власть — две полярности или большая сила? (Взаимодействие бизнеса и власти на примере законопроектов)")</f>
        <v>Бизнес и власть — две полярности или большая сила? (Взаимодействие бизнеса и власти на примере законопроектов)</v>
      </c>
      <c r="D995" s="1" t="str">
        <f ca="1">IFERROR(__xludf.DUMMYFUNCTION("""COMPUTED_VALUE"""),"- Все о ""законопроекте Х."": полная история от эксперта гостиничной индустрии о запрете предоставления гостиничных услуг в РФ для всех средств размещения в жилом фонде
- Реперные точки разделения легальных и нелегальных отелей и хостелов
- Отличия ночлеж"&amp;"ек от качественных отелей, даже если у первых все в порядке с документами
- Как сейчас живут отели и хостелы в жилом фонде? 
- Как собрать статистику и показатели загрузки и своем регионе  ")</f>
        <v xml:space="preserve">- Все о "законопроекте Х.": полная история от эксперта гостиничной индустрии о запрете предоставления гостиничных услуг в РФ для всех средств размещения в жилом фонде
- Реперные точки разделения легальных и нелегальных отелей и хостелов
- Отличия ночлежек от качественных отелей, даже если у первых все в порядке с документами
- Как сейчас живут отели и хостелы в жилом фонде? 
- Как собрать статистику и показатели загрузки и своем регионе  </v>
      </c>
    </row>
    <row r="996" spans="1:4" ht="51" x14ac:dyDescent="0.2">
      <c r="A996" s="1"/>
      <c r="B996" s="4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6" s="4" t="str">
        <f ca="1">IFERROR(__xludf.DUMMYFUNCTION("""COMPUTED_VALUE"""),"Нормы СЭС. Правила работы при пандемии (как нужно работать малым средствам размещения, их владельцам и сотрудникам)")</f>
        <v>Нормы СЭС. Правила работы при пандемии (как нужно работать малым средствам размещения, их владельцам и сотрудникам)</v>
      </c>
      <c r="D996" s="1" t="str">
        <f ca="1">IFERROR(__xludf.DUMMYFUNCTION("""COMPUTED_VALUE"""),"- РОСПОТРЕБНАДЗОР и нормы СЭС для чего они существуют и как работать с этими документами
- Что такое МСР. Структура и возможности МСР
- Какие требования предъявляются МСР в области СЭС в соответствии с сертификацией объекта
- Правила работы отелей в перио"&amp;"д пандемии. Какие мероприятия должны быть проведены
- Персонал: медицинская книжка — зачем она нужна? Обязательные прививки и осмотры, а также их периодичность ")</f>
        <v xml:space="preserve">- РОСПОТРЕБНАДЗОР и нормы СЭС для чего они существуют и как работать с этими документами
- Что такое МСР. Структура и возможности МСР
- Какие требования предъявляются МСР в области СЭС в соответствии с сертификацией объекта
- Правила работы отелей в период пандемии. Какие мероприятия должны быть проведены
- Персонал: медицинская книжка — зачем она нужна? Обязательные прививки и осмотры, а также их периодичность </v>
      </c>
    </row>
    <row r="997" spans="1:4" ht="38.25" x14ac:dyDescent="0.2">
      <c r="A997" s="1"/>
      <c r="B997" s="4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7" s="4" t="str">
        <f ca="1">IFERROR(__xludf.DUMMYFUNCTION("""COMPUTED_VALUE"""),"Стрессовые переговоры между госслужащими и предпринимателями")</f>
        <v>Стрессовые переговоры между госслужащими и предпринимателями</v>
      </c>
      <c r="D997" s="1" t="str">
        <f ca="1">IFERROR(__xludf.DUMMYFUNCTION("""COMPUTED_VALUE""")," - Как не провалить переговоры без подготовки
 - Переговорные позиции восприятия
 - Эффективные переговорные техники
 - Манипуляции в переговорах
 - Жёсткие переговоры и их последствия
 - Переговорные навыковые карты – как уникальный инструмент по формиро"&amp;"ванию навыка эффективного ведения переговоров")</f>
        <v xml:space="preserve"> - Как не провалить переговоры без подготовки
 - Переговорные позиции восприятия
 - Эффективные переговорные техники
 - Манипуляции в переговорах
 - Жёсткие переговоры и их последствия
 - Переговорные навыковые карты – как уникальный инструмент по формированию навыка эффективного ведения переговоров</v>
      </c>
    </row>
    <row r="998" spans="1:4" ht="38.25" x14ac:dyDescent="0.2">
      <c r="A998" s="1"/>
      <c r="B998" s="4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8" s="4" t="str">
        <f ca="1">IFERROR(__xludf.DUMMYFUNCTION("""COMPUTED_VALUE"""),"Деловой этикет")</f>
        <v>Деловой этикет</v>
      </c>
      <c r="D998" s="1" t="str">
        <f ca="1">IFERROR(__xludf.DUMMYFUNCTION("""COMPUTED_VALUE"""),"Правила служебного этикета и основные принципы профессиональной этики госслужащего: - Правила приветствия, представления, рукопожатия, вручения визиток - культура речи госслужащего - Этикет деловой переписки - Телефонные переговоры - Особенности общения в"&amp;" социальных сетях и через мессенджеры - Имидж госслужащего - Стереотипы и стандартные ожидания. Первое впечатление - Соответствие внешнего вида статусу. Этикетные нормы и правила официального внешнего вида ")</f>
        <v xml:space="preserve">Правила служебного этикета и основные принципы профессиональной этики госслужащего: - Правила приветствия, представления, рукопожатия, вручения визиток - культура речи госслужащего - Этикет деловой переписки - Телефонные переговоры - Особенности общения в социальных сетях и через мессенджеры - Имидж госслужащего - Стереотипы и стандартные ожидания. Первое впечатление - Соответствие внешнего вида статусу. Этикетные нормы и правила официального внешнего вида </v>
      </c>
    </row>
    <row r="999" spans="1:4" ht="63.75" x14ac:dyDescent="0.2">
      <c r="A999" s="1"/>
      <c r="B999" s="4" t="str">
        <f ca="1">IFERROR(__xludf.DUMMYFUNCTION("""COMPUTED_VALUE"""),"«АНТИКРИЗИСНАЯ ПРОГРАММА РАЗВИТИЯ  «ОСНОВА ТУРИЗМА: ГОСТИНИЧНЫЙ БИЗНЕС»")</f>
        <v>«АНТИКРИЗИСНАЯ ПРОГРАММА РАЗВИТИЯ  «ОСНОВА ТУРИЗМА: ГОСТИНИЧНЫЙ БИЗНЕС»</v>
      </c>
      <c r="C999" s="4" t="str">
        <f ca="1">IFERROR(__xludf.DUMMYFUNCTION("""COMPUTED_VALUE"""),"Диджитал и основы работы в соц сетях (в том числе, взаимодействия граждан с предпринимателями на просторах интернета)")</f>
        <v>Диджитал и основы работы в соц сетях (в том числе, взаимодействия граждан с предпринимателями на просторах интернета)</v>
      </c>
      <c r="D999" s="1" t="str">
        <f ca="1">IFERROR(__xludf.DUMMYFUNCTION("""COMPUTED_VALUE"""),"- Фундамент работы в любой социальной сети (определяем задачи, целевую аудиторию, ресурсы)
- Какие аккаунты бывают и почему все говорят про личный бренд
- Создаем контент-план
- Работа с текстом, как писать вовлекающие посты
- Создание визуала: ошибки, ид"&amp;"еи и нюансы
- Видеоконтент
- Знакомимся с основными методами продвижения и выбираем оптимальные
- Как правильно работать с обратной связью и что делать с негативными комментариями")</f>
        <v>- Фундамент работы в любой социальной сети (определяем задачи, целевую аудиторию, ресурсы)
- Какие аккаунты бывают и почему все говорят про личный бренд
- Создаем контент-план
- Работа с текстом, как писать вовлекающие посты
- Создание визуала: ошибки, идеи и нюансы
- Видеоконтент
- Знакомимся с основными методами продвижения и выбираем оптимальные
- Как правильно работать с обратной связью и что делать с негативными комментариями</v>
      </c>
    </row>
    <row r="1000" spans="1:4" ht="38.25" x14ac:dyDescent="0.2">
      <c r="A1000" s="1"/>
      <c r="B1000" s="4" t="str">
        <f ca="1">IFERROR(__xludf.DUMMYFUNCTION("""COMPUTED_VALUE"""),"Выход из тени. Прикладная методология работы с самозанятыми")</f>
        <v>Выход из тени. Прикладная методология работы с самозанятыми</v>
      </c>
      <c r="C1000" s="4" t="str">
        <f ca="1">IFERROR(__xludf.DUMMYFUNCTION("""COMPUTED_VALUE"""),"Вовлечение населения в самозанятость ")</f>
        <v xml:space="preserve">Вовлечение населения в самозанятость </v>
      </c>
      <c r="D1000" s="1" t="str">
        <f ca="1">IFERROR(__xludf.DUMMYFUNCTION("""COMPUTED_VALUE"""),"- Что такое информационная кампания, когда и зачем ее нужно проводить?
- Принципы стратегии продвижения
- Определение целевой аудитории и точек контакта с ней
- Способы позиционирования
- Способы вовлечения онлайн и офлайн
- Оптимизация процессов и делеги"&amp;"рование задач подрядчикам
- Мониторинг и анализ")</f>
        <v>- Что такое информационная кампания, когда и зачем ее нужно проводить?
- Принципы стратегии продвижения
- Определение целевой аудитории и точек контакта с ней
- Способы позиционирования
- Способы вовлечения онлайн и офлайн
- Оптимизация процессов и делегирование задач подрядчикам
- Мониторинг и анализ</v>
      </c>
    </row>
    <row r="1001" spans="1:4" ht="38.25" x14ac:dyDescent="0.2">
      <c r="A1001" s="1"/>
      <c r="B1001" s="4" t="str">
        <f ca="1">IFERROR(__xludf.DUMMYFUNCTION("""COMPUTED_VALUE"""),"Выход из тени. Прикладная методология работы с самозанятыми")</f>
        <v>Выход из тени. Прикладная методология работы с самозанятыми</v>
      </c>
      <c r="C1001" s="4" t="str">
        <f ca="1">IFERROR(__xludf.DUMMYFUNCTION("""COMPUTED_VALUE"""),"Типология личностей и метапрограмма людей ")</f>
        <v xml:space="preserve">Типология личностей и метапрограмма людей </v>
      </c>
      <c r="D1001" s="1" t="str">
        <f ca="1">IFERROR(__xludf.DUMMYFUNCTION("""COMPUTED_VALUE"""),"- Базовые классификации типов личностей на основе психологических особенностей личностей 
- Практическая применимость, плюсы и ограничения популярных методов оценки типов личностей 
- Роль метапрограмм в формировании жизненных сценариев. Принципы осознани"&amp;"я и корректировки    
- Авторская технология «Формула огня», как интегральная модель современных систем классификации личностей
- «Эмоциональные фильтры», «коды доступа» и алгоритмы коммуникации для разных типов людей ")</f>
        <v xml:space="preserve">- Базовые классификации типов личностей на основе психологических особенностей личностей 
- Практическая применимость, плюсы и ограничения популярных методов оценки типов личностей 
- Роль метапрограмм в формировании жизненных сценариев. Принципы осознания и корректировки    
- Авторская технология «Формула огня», как интегральная модель современных систем классификации личностей
- «Эмоциональные фильтры», «коды доступа» и алгоритмы коммуникации для разных типов людей </v>
      </c>
    </row>
    <row r="1002" spans="1:4" ht="38.25" x14ac:dyDescent="0.2">
      <c r="A1002" s="1"/>
      <c r="B1002" s="4" t="str">
        <f ca="1">IFERROR(__xludf.DUMMYFUNCTION("""COMPUTED_VALUE"""),"Выход из тени. Прикладная методология работы с самозанятыми")</f>
        <v>Выход из тени. Прикладная методология работы с самозанятыми</v>
      </c>
      <c r="C1002" s="4" t="str">
        <f ca="1">IFERROR(__xludf.DUMMYFUNCTION("""COMPUTED_VALUE"""),"Мотивация или наказание. Как мотивировать самозанятых к регистрации")</f>
        <v>Мотивация или наказание. Как мотивировать самозанятых к регистрации</v>
      </c>
      <c r="D1002" s="1" t="str">
        <f ca="1">IFERROR(__xludf.DUMMYFUNCTION("""COMPUTED_VALUE"""),"- Определение понятий «мотив» и «стимул»
- Составление списка мотивов, по которым самозанятые могут захотеть зарегистрироваться
- Методы Декартовых координат и рассказывания историй (AIDA) в стимулировании к регистрации
- Работа с возражениями 
- Методы р"&amp;"аботы с агрессией при коммуникации")</f>
        <v>- Определение понятий «мотив» и «стимул»
- Составление списка мотивов, по которым самозанятые могут захотеть зарегистрироваться
- Методы Декартовых координат и рассказывания историй (AIDA) в стимулировании к регистрации
- Работа с возражениями 
- Методы работы с агрессией при коммуникации</v>
      </c>
    </row>
    <row r="1003" spans="1:4" ht="38.25" x14ac:dyDescent="0.2">
      <c r="A1003" s="1"/>
      <c r="B1003" s="4" t="str">
        <f ca="1">IFERROR(__xludf.DUMMYFUNCTION("""COMPUTED_VALUE"""),"Выход из тени. Прикладная методология работы с самозанятыми")</f>
        <v>Выход из тени. Прикладная методология работы с самозанятыми</v>
      </c>
      <c r="C1003" s="4"/>
      <c r="D1003" s="1" t="str">
        <f ca="1">IFERROR(__xludf.DUMMYFUNCTION("""COMPUTED_VALUE"""),"- Личный бренд — понятия и почему эта тема так востребована
- Как правильно оформлять соц.сети
- Как создавать правильный визуал
- Адвокаты бренда — кто это?
- Методы вовлечения через посты
- Методы вовлечения в сторис
- Методы вовлечения через прямые эфи"&amp;"ры")</f>
        <v>- Личный бренд — понятия и почему эта тема так востребована
- Как правильно оформлять соц.сети
- Как создавать правильный визуал
- Адвокаты бренда — кто это?
- Методы вовлечения через посты
- Методы вовлечения в сторис
- Методы вовлечения через прямые эфиры</v>
      </c>
    </row>
    <row r="1004" spans="1:4" ht="38.25" x14ac:dyDescent="0.2">
      <c r="A1004" s="1"/>
      <c r="B1004" s="4" t="str">
        <f ca="1">IFERROR(__xludf.DUMMYFUNCTION("""COMPUTED_VALUE"""),"Выход из тени. Прикладная методология работы с самозанятыми")</f>
        <v>Выход из тени. Прикладная методология работы с самозанятыми</v>
      </c>
      <c r="C1004" s="4"/>
      <c r="D1004" s="1" t="str">
        <f ca="1">IFERROR(__xludf.DUMMYFUNCTION("""COMPUTED_VALUE"""),"-Эволюция продвижения личности и сообществ  
-Какими качествами обладает лидер сообщества/репутационный капитал 
-Какие лидеры сейчас будут востребованы  
-Способы выстраивания системы вовлечения аудитории
-Способы взаимодействия с аудиторией и точки конт"&amp;"акта в онлайне и в офлайне")</f>
        <v>-Эволюция продвижения личности и сообществ  
-Какими качествами обладает лидер сообщества/репутационный капитал 
-Какие лидеры сейчас будут востребованы  
-Способы выстраивания системы вовлечения аудитории
-Способы взаимодействия с аудиторией и точки контакта в онлайне и в офлайне</v>
      </c>
    </row>
    <row r="1005" spans="1:4" ht="51" x14ac:dyDescent="0.2">
      <c r="A1005" s="1"/>
      <c r="B1005" s="4" t="str">
        <f ca="1">IFERROR(__xludf.DUMMYFUNCTION("""COMPUTED_VALUE"""),"Модуль")</f>
        <v>Модуль</v>
      </c>
      <c r="C1005" s="4" t="str">
        <f ca="1">IFERROR(__xludf.DUMMYFUNCTION("""COMPUTED_VALUE"""),"Создание продукта: как находить идеи, как управлять разработками, как формировать ценность продукта")</f>
        <v>Создание продукта: как находить идеи, как управлять разработками, как формировать ценность продукта</v>
      </c>
      <c r="D1005" s="1" t="str">
        <f ca="1">IFERROR(__xludf.DUMMYFUNCTION("""COMPUTED_VALUE"""),"- Что такое продукт? Основные участники процесса создания продукта
- Что такое дизайн-мышление? Каким компаниям и каким проектам оно будет полезно? 
- 5 правил, процесс «Double diamond»
- Итоги процесса, результат и извлеченные урок")</f>
        <v>- Что такое продукт? Основные участники процесса создания продукта
- Что такое дизайн-мышление? Каким компаниям и каким проектам оно будет полезно? 
- 5 правил, процесс «Double diamond»
- Итоги процесса, результат и извлеченные урок</v>
      </c>
    </row>
    <row r="1006" spans="1:4" ht="12.75" x14ac:dyDescent="0.2">
      <c r="A1006" s="1"/>
      <c r="B1006" s="4" t="str">
        <f ca="1">IFERROR(__xludf.DUMMYFUNCTION("""COMPUTED_VALUE"""),"Модуль")</f>
        <v>Модуль</v>
      </c>
      <c r="C1006" s="4" t="str">
        <f ca="1">IFERROR(__xludf.DUMMYFUNCTION("""COMPUTED_VALUE"""),"Развитие дизайн-мышления")</f>
        <v>Развитие дизайн-мышления</v>
      </c>
      <c r="D1006" s="1" t="str">
        <f ca="1">IFERROR(__xludf.DUMMYFUNCTION("""COMPUTED_VALUE"""),"- Компоненты дизайн-мышления, карта компетенций для эффективной работы с методом, ролевое распределение в команде
- Когнитивные искажения, снижающие эффективность работы
- Проективные методики развития дизайн-мышления
- Коммуникативные методики развития д"&amp;"изайн-мышления (метод SCAMPER)
- Техники развития памяти и развития критичного и проектного мышления
")</f>
        <v xml:space="preserve">- Компоненты дизайн-мышления, карта компетенций для эффективной работы с методом, ролевое распределение в команде
- Когнитивные искажения, снижающие эффективность работы
- Проективные методики развития дизайн-мышления
- Коммуникативные методики развития дизайн-мышления (метод SCAMPER)
- Техники развития памяти и развития критичного и проектного мышления
</v>
      </c>
    </row>
    <row r="1007" spans="1:4" ht="38.25" x14ac:dyDescent="0.2">
      <c r="A1007" s="1"/>
      <c r="B1007" s="4" t="str">
        <f ca="1">IFERROR(__xludf.DUMMYFUNCTION("""COMPUTED_VALUE"""),"Модуль")</f>
        <v>Модуль</v>
      </c>
      <c r="C1007" s="4" t="str">
        <f ca="1">IFERROR(__xludf.DUMMYFUNCTION("""COMPUTED_VALUE"""),"Современный подход в управлении через дизайн-мышление и сервис-дизайн")</f>
        <v>Современный подход в управлении через дизайн-мышление и сервис-дизайн</v>
      </c>
      <c r="D1007" s="1" t="str">
        <f ca="1">IFERROR(__xludf.DUMMYFUNCTION("""COMPUTED_VALUE"""),"- Подход к созданию решений через продукт и сервис, ориентированных на человека
- Кто ваш клиент и как он сейчас решает свои задачи
- Модель сервиса как инструмент образного сравнения компании во взаимодействии с Клиентом
- Создание пути клиента от «Как е"&amp;"сть» к «Как будет»
- Создание Бизнес-модели для понимания способов монетизации и задействованных сторон
")</f>
        <v xml:space="preserve">- Подход к созданию решений через продукт и сервис, ориентированных на человека
- Кто ваш клиент и как он сейчас решает свои задачи
- Модель сервиса как инструмент образного сравнения компании во взаимодействии с Клиентом
- Создание пути клиента от «Как есть» к «Как будет»
- Создание Бизнес-модели для понимания способов монетизации и задействованных сторон
</v>
      </c>
    </row>
    <row r="1008" spans="1:4" ht="25.5" x14ac:dyDescent="0.2">
      <c r="A1008" s="1"/>
      <c r="B1008" s="4" t="str">
        <f ca="1">IFERROR(__xludf.DUMMYFUNCTION("""COMPUTED_VALUE"""),"Модуль")</f>
        <v>Модуль</v>
      </c>
      <c r="C1008" s="4" t="str">
        <f ca="1">IFERROR(__xludf.DUMMYFUNCTION("""COMPUTED_VALUE"""),"Agile-подход для создания новых продуктов")</f>
        <v>Agile-подход для создания новых продуктов</v>
      </c>
      <c r="D1008" s="1" t="str">
        <f ca="1">IFERROR(__xludf.DUMMYFUNCTION("""COMPUTED_VALUE"""),"- Что такое Agile. Как появился, почему, для каких процессов
- Ценности и принципы Agile Manifesto
- SCRUM – революционный метод создания новых продуктов
- Бэклог продукта. Основы составления и корректировки
- Daily Scrum. Ежедневные планерки. Планировани"&amp;"е спринта
- Sprint ревью. Показываем результаты
- SCRUM-доска, удалённая работа и структура спринта")</f>
        <v>- Что такое Agile. Как появился, почему, для каких процессов
- Ценности и принципы Agile Manifesto
- SCRUM – революционный метод создания новых продуктов
- Бэклог продукта. Основы составления и корректировки
- Daily Scrum. Ежедневные планерки. Планирование спринта
- Sprint ревью. Показываем результаты
- SCRUM-доска, удалённая работа и структура спринта</v>
      </c>
    </row>
    <row r="1009" spans="1:4" ht="51" x14ac:dyDescent="0.2">
      <c r="A1009" s="1"/>
      <c r="B1009" s="4" t="str">
        <f ca="1">IFERROR(__xludf.DUMMYFUNCTION("""COMPUTED_VALUE"""),"Модуль")</f>
        <v>Модуль</v>
      </c>
      <c r="C1009" s="4" t="str">
        <f ca="1">IFERROR(__xludf.DUMMYFUNCTION("""COMPUTED_VALUE"""),"Упаковка бизнеса. Как увеличить прибыль компании, настроив бизнес-процессы и эффективно преподнеся ее рынку?")</f>
        <v>Упаковка бизнеса. Как увеличить прибыль компании, настроив бизнес-процессы и эффективно преподнеся ее рынку?</v>
      </c>
      <c r="D1009" s="1" t="str">
        <f ca="1">IFERROR(__xludf.DUMMYFUNCTION("""COMPUTED_VALUE"""),"- Предпринимательское мышление и основы предпринимательской деятельности
- Понятие упаковки бизнеса. Технология. Внутренняя и внешняя упаковка
- Смыслы. Описание компании и продукта. Создание УТП
- Настройка процессов в компании. Стандартизация
- Возможно"&amp;"сти роста и развития. Выбор модели масштабирования
- Финансовая модель оценки бизнеса и проектов развития")</f>
        <v>- Предпринимательское мышление и основы предпринимательской деятельности
- Понятие упаковки бизнеса. Технология. Внутренняя и внешняя упаковка
- Смыслы. Описание компании и продукта. Создание УТП
- Настройка процессов в компании. Стандартизация
- Возможности роста и развития. Выбор модели масштабирования
- Финансовая модель оценки бизнеса и проектов развития</v>
      </c>
    </row>
    <row r="1010" spans="1:4" ht="25.5" x14ac:dyDescent="0.2">
      <c r="A1010" s="1"/>
      <c r="B1010" s="4" t="str">
        <f ca="1">IFERROR(__xludf.DUMMYFUNCTION("""COMPUTED_VALUE"""),"Модуль")</f>
        <v>Модуль</v>
      </c>
      <c r="C1010" s="4" t="str">
        <f ca="1">IFERROR(__xludf.DUMMYFUNCTION("""COMPUTED_VALUE"""),"Внутренняя упаковка: настройка работы компании")</f>
        <v>Внутренняя упаковка: настройка работы компании</v>
      </c>
      <c r="D1010" s="1" t="str">
        <f ca="1">IFERROR(__xludf.DUMMYFUNCTION("""COMPUTED_VALUE"""),"- Алгоритм внутренней упаковки
- Описание компании и продукта
- Как оценить будет ли востребован ваш продукт?
- Как построить внутренние бизнес-процессы компании
- Инструкции для персонала. Как составить инструкции, которые будут работать?
- Как сделать т"&amp;"ак, чтобы инструкция работала")</f>
        <v>- Алгоритм внутренней упаковки
- Описание компании и продукта
- Как оценить будет ли востребован ваш продукт?
- Как построить внутренние бизнес-процессы компании
- Инструкции для персонала. Как составить инструкции, которые будут работать?
- Как сделать так, чтобы инструкция работала</v>
      </c>
    </row>
    <row r="1011" spans="1:4" ht="38.25" x14ac:dyDescent="0.2">
      <c r="A1011" s="1"/>
      <c r="B1011" s="4" t="str">
        <f ca="1">IFERROR(__xludf.DUMMYFUNCTION("""COMPUTED_VALUE"""),"Модуль")</f>
        <v>Модуль</v>
      </c>
      <c r="C1011" s="4" t="str">
        <f ca="1">IFERROR(__xludf.DUMMYFUNCTION("""COMPUTED_VALUE"""),"Внешняя упаковка. Как упаковать бизнес, чтобы он продавал себя сам")</f>
        <v>Внешняя упаковка. Как упаковать бизнес, чтобы он продавал себя сам</v>
      </c>
      <c r="D1011" s="1" t="str">
        <f ca="1">IFERROR(__xludf.DUMMYFUNCTION("""COMPUTED_VALUE"""),"- Система построения внешней упаковки. Что нужно сделать, чтобы упаковать компанию?
- Всем ли нужен бренд? Основы брендинга для малого бизнеса
- Как правильно выделить себя среди конкурентов: имя, логотип, фирменный стиль
- Как правильно составить УТП на "&amp;"основе ценностного предложения. Как сформулировать предложение клиенту, от которого он не сможет отказаться?
- Создание маркетинг-кита и коммерческого предложения
- Интернет: Сайт, Лэндинги, Социальные сети")</f>
        <v>- Система построения внешней упаковки. Что нужно сделать, чтобы упаковать компанию?
- Всем ли нужен бренд? Основы брендинга для малого бизнеса
- Как правильно выделить себя среди конкурентов: имя, логотип, фирменный стиль
- Как правильно составить УТП на основе ценностного предложения. Как сформулировать предложение клиенту, от которого он не сможет отказаться?
- Создание маркетинг-кита и коммерческого предложения
- Интернет: Сайт, Лэндинги, Социальные сети</v>
      </c>
    </row>
    <row r="1012" spans="1:4" ht="25.5" x14ac:dyDescent="0.2">
      <c r="A1012" s="1"/>
      <c r="B1012" s="4" t="str">
        <f ca="1">IFERROR(__xludf.DUMMYFUNCTION("""COMPUTED_VALUE"""),"Модуль")</f>
        <v>Модуль</v>
      </c>
      <c r="C1012" s="4" t="str">
        <f ca="1">IFERROR(__xludf.DUMMYFUNCTION("""COMPUTED_VALUE"""),"Юридические аспекты упаковки бизнеса")</f>
        <v>Юридические аспекты упаковки бизнеса</v>
      </c>
      <c r="D1012" s="1" t="str">
        <f ca="1">IFERROR(__xludf.DUMMYFUNCTION("""COMPUTED_VALUE"""),"- Что в вашей компании принадлежит вам?
- Логотип, товарный знак и фирменный стиль. Как закрепить свои права на логотип и зачем?
- Что в вашей компании является объектом авторских прав? 
- Что такое Ноу-Хау (англ. know how - знаю, как) и как его защищать?"&amp;"
- Режим коммерческой тайны
- Зачем вам права на программное обеспечение?
- Внутренние документы (двойная подпись документов, договора с клиентами)")</f>
        <v>- Что в вашей компании принадлежит вам?
- Логотип, товарный знак и фирменный стиль. Как закрепить свои права на логотип и зачем?
- Что в вашей компании является объектом авторских прав? 
- Что такое Ноу-Хау (англ. know how - знаю, как) и как его защищать?
- Режим коммерческой тайны
- Зачем вам права на программное обеспечение?
- Внутренние документы (двойная подпись документов, договора с клиентами)</v>
      </c>
    </row>
    <row r="1013" spans="1:4" ht="25.5" x14ac:dyDescent="0.2">
      <c r="A1013" s="1"/>
      <c r="B1013" s="4" t="str">
        <f ca="1">IFERROR(__xludf.DUMMYFUNCTION("""COMPUTED_VALUE"""),"Бизнес-старт для самозанятых ")</f>
        <v xml:space="preserve">Бизнес-старт для самозанятых </v>
      </c>
      <c r="C1013" s="4" t="str">
        <f ca="1">IFERROR(__xludf.DUMMYFUNCTION("""COMPUTED_VALUE"""),"На чем можно заработать самозанятому в 2021 году")</f>
        <v>На чем можно заработать самозанятому в 2021 году</v>
      </c>
      <c r="D1013" s="1" t="str">
        <f ca="1">IFERROR(__xludf.DUMMYFUNCTION("""COMPUTED_VALUE"""),"- Система налогообложения самозанятого. Отличия от ИП
- Льготы и господдержка для самозанятого
- Что нужно для того, чтобы стать самозанятым?
- Порядок регистрации самозанятого — куда идти?
- Структура бизнеса для самозанятого на успешных примерах
- Как в"&amp;"ыбрать поднишу для самозанятого
- Первые шаги к своей мечте через бизнес-планирование
- Финансовое планирование
- Кейсы бизнес-моделей самозанятых")</f>
        <v>- Система налогообложения самозанятого. Отличия от ИП
- Льготы и господдержка для самозанятого
- Что нужно для того, чтобы стать самозанятым?
- Порядок регистрации самозанятого — куда идти?
- Структура бизнеса для самозанятого на успешных примерах
- Как выбрать поднишу для самозанятого
- Первые шаги к своей мечте через бизнес-планирование
- Финансовое планирование
- Кейсы бизнес-моделей самозанятых</v>
      </c>
    </row>
    <row r="1014" spans="1:4" ht="25.5" x14ac:dyDescent="0.2">
      <c r="A1014" s="1"/>
      <c r="B1014" s="4"/>
      <c r="C1014" s="4" t="str">
        <f ca="1">IFERROR(__xludf.DUMMYFUNCTION("""COMPUTED_VALUE"""),"На чем можно зарабатывать самозанятому")</f>
        <v>На чем можно зарабатывать самозанятому</v>
      </c>
      <c r="D1014" s="1" t="str">
        <f ca="1">IFERROR(__xludf.DUMMYFUNCTION("""COMPUTED_VALUE"""),"- Система налогообложения самозанятого. Отличия от ИП
- Льготы и господдержка для самозанятого
- Что нужно для того, чтобы стать самозанятым?
- Порядок регистрации самозанятого — куда идти?
- Структура бизнеса для самозанятого на успешных примерах
- Как в"&amp;"ыбрать поднишу для самозанятого
- Первые шаги к своей мечте через бизнес-планирование
- Финансовое планирование
- Кейсы бизнес-моделей самозанятых")</f>
        <v>- Система налогообложения самозанятого. Отличия от ИП
- Льготы и господдержка для самозанятого
- Что нужно для того, чтобы стать самозанятым?
- Порядок регистрации самозанятого — куда идти?
- Структура бизнеса для самозанятого на успешных примерах
- Как выбрать поднишу для самозанятого
- Первые шаги к своей мечте через бизнес-планирование
- Финансовое планирование
- Кейсы бизнес-моделей самозанятых</v>
      </c>
    </row>
    <row r="1015" spans="1:4" ht="25.5" x14ac:dyDescent="0.2">
      <c r="A1015" s="1"/>
      <c r="B1015" s="4" t="str">
        <f ca="1">IFERROR(__xludf.DUMMYFUNCTION("""COMPUTED_VALUE"""),"Бизнес-старт для самозанятых ")</f>
        <v xml:space="preserve">Бизнес-старт для самозанятых </v>
      </c>
      <c r="C1015" s="4" t="str">
        <f ca="1">IFERROR(__xludf.DUMMYFUNCTION("""COMPUTED_VALUE"""),"10 принципов личного бренда, успешная самопрезентация")</f>
        <v>10 принципов личного бренда, успешная самопрезентация</v>
      </c>
      <c r="D1015" s="1" t="str">
        <f ca="1">IFERROR(__xludf.DUMMYFUNCTION("""COMPUTED_VALUE"""),"- Что такое Упаковка и зачем она нужна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руб.")</f>
        <v>- Что такое Упаковка и зачем она нужна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</v>
      </c>
    </row>
    <row r="1016" spans="1:4" ht="12.75" x14ac:dyDescent="0.2">
      <c r="A1016" s="1"/>
      <c r="B1016" s="4"/>
      <c r="C1016" s="4" t="str">
        <f ca="1">IFERROR(__xludf.DUMMYFUNCTION("""COMPUTED_VALUE"""),"Принципы личного бренда")</f>
        <v>Принципы личного бренда</v>
      </c>
      <c r="D1016" s="1" t="str">
        <f ca="1">IFERROR(__xludf.DUMMYFUNCTION("""COMPUTED_VALUE"""),"- Что такое Упаковка и зачем она нужна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руб.")</f>
        <v>- Что такое Упаковка и зачем она нужна
- Слои упаковки. Разбор каждого слоя
- Техника 4U — отработка
- Как личный бренд помогает продавать самозанятому
- Успешный кейс: как с помощью личного бренда продать услугу на 1,2 млн. руб.</v>
      </c>
    </row>
    <row r="1017" spans="1:4" ht="25.5" x14ac:dyDescent="0.2">
      <c r="A1017" s="1"/>
      <c r="B1017" s="4" t="str">
        <f ca="1">IFERROR(__xludf.DUMMYFUNCTION("""COMPUTED_VALUE"""),"Бизнес-старт для самозанятых ")</f>
        <v xml:space="preserve">Бизнес-старт для самозанятых </v>
      </c>
      <c r="C1017" s="4" t="str">
        <f ca="1">IFERROR(__xludf.DUMMYFUNCTION("""COMPUTED_VALUE"""),"Как выделиться на рынке. Упаковка продукта или услуги")</f>
        <v>Как выделиться на рынке. Упаковка продукта или услуги</v>
      </c>
      <c r="D1017" s="1" t="str">
        <f ca="1">IFERROR(__xludf.DUMMYFUNCTION("""COMPUTED_VALUE"""),"- Коммуникации между аудиторией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Прос"&amp;"тые практики и чек-листы по созданию продающей упаковки продукта или услуги 
- Как создавать WOW-эффект благодаря скрайбингу
- Кейсы самозанятых. Истории реальных людей")</f>
        <v>- Коммуникации между аудиторией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Простые практики и чек-листы по созданию продающей упаковки продукта или услуги 
- Как создавать WOW-эффект благодаря скрайбингу
- Кейсы самозанятых. Истории реальных людей</v>
      </c>
    </row>
    <row r="1018" spans="1:4" ht="12.75" x14ac:dyDescent="0.2">
      <c r="A1018" s="1"/>
      <c r="B1018" s="4"/>
      <c r="C1018" s="4" t="str">
        <f ca="1">IFERROR(__xludf.DUMMYFUNCTION("""COMPUTED_VALUE"""),"Упаковка продукта или услуги")</f>
        <v>Упаковка продукта или услуги</v>
      </c>
      <c r="D1018" s="1" t="str">
        <f ca="1">IFERROR(__xludf.DUMMYFUNCTION("""COMPUTED_VALUE"""),"- Коммуникации между аудиторией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Прос"&amp;"тые практики и чек-листы по созданию продающей упаковки продукта или услуги 
- Как создавать WOW-эффект благодаря скрайбингу
- Кейсы самозанятых. Истории реальных людей")</f>
        <v>- Коммуникации между аудиторией и брендом продукта
- Как выбирать визуальный молоток, как стоит транслировать сообщения и какими инструментами
- Как делать презентации, которые будут работать без вас
- Что создает образ продукта и как на это влиять
- Простые практики и чек-листы по созданию продающей упаковки продукта или услуги 
- Как создавать WOW-эффект благодаря скрайбингу
- Кейсы самозанятых. Истории реальных людей</v>
      </c>
    </row>
    <row r="1019" spans="1:4" ht="25.5" x14ac:dyDescent="0.2">
      <c r="A1019" s="1"/>
      <c r="B1019" s="4" t="str">
        <f ca="1">IFERROR(__xludf.DUMMYFUNCTION("""COMPUTED_VALUE"""),"Бизнес-старт для самозанятых ")</f>
        <v xml:space="preserve">Бизнес-старт для самозанятых </v>
      </c>
      <c r="C1019" s="4" t="str">
        <f ca="1">IFERROR(__xludf.DUMMYFUNCTION("""COMPUTED_VALUE"""),"Бесплатные способы поиска клиента для самозанятого")</f>
        <v>Бесплатные способы поиска клиента для самозанятого</v>
      </c>
      <c r="D1019" s="1" t="str">
        <f ca="1">IFERROR(__xludf.DUMMYFUNCTION("""COMPUTED_VALUE"""),"- Как сделать анализ целевой аудитории и конкурентов
- Популярные площадки для продвижения
- Что нужно самозанятому, чтобы бесплатно продвигать свой продукт или услугу в разных сферах (питание, образование, спорт и тд.)- Актуальные рекламные материалы для"&amp;" самозанятых: презентации, сайты, лендинг-каналы, флаеры
- 10 основных ошибок в крауд-маркетинге и важность его применения
- Реклама в СМИ и зачем она нужна самозанятому
- Конкретные кейсы работы самозанятого. Истории реальных людей
")</f>
        <v xml:space="preserve">- Как сделать анализ целевой аудитории и конкурентов
- Популярные площадки для продвижения
- Что нужно самозанятому, чтобы бесплатно продвигать свой продукт или услугу в разных сферах (питание, образование, спорт и тд.)- Актуальные рекламные материалы для самозанятых: презентации, сайты, лендинг-каналы, флаеры
- 10 основных ошибок в крауд-маркетинге и важность его применения
- Реклама в СМИ и зачем она нужна самозанятому
- Конкретные кейсы работы самозанятого. Истории реальных людей
</v>
      </c>
    </row>
    <row r="1020" spans="1:4" ht="25.5" x14ac:dyDescent="0.2">
      <c r="A1020" s="1"/>
      <c r="B1020" s="4" t="str">
        <f ca="1">IFERROR(__xludf.DUMMYFUNCTION("""COMPUTED_VALUE"""),"Бизнес-старт для самозанятых ")</f>
        <v xml:space="preserve">Бизнес-старт для самозанятых </v>
      </c>
      <c r="C1020" s="4" t="str">
        <f ca="1">IFERROR(__xludf.DUMMYFUNCTION("""COMPUTED_VALUE"""),"Где и как искать подрядчиков, брифование партнеров и клиентов")</f>
        <v>Где и как искать подрядчиков, брифование партнеров и клиентов</v>
      </c>
      <c r="D1020" s="1" t="str">
        <f ca="1">IFERROR(__xludf.DUMMYFUNCTION("""COMPUTED_VALUE"""),"-Каналы для поиска партнеров: сообщества, чаты и прочее
-Рекомендации по партнерству и работе
-Разбор примеров брифов для различных ниш самозанятых")</f>
        <v>-Каналы для поиска партнеров: сообщества, чаты и прочее
-Рекомендации по партнерству и работе
-Разбор примеров брифов для различных ниш самозанятых</v>
      </c>
    </row>
    <row r="1021" spans="1:4" ht="25.5" x14ac:dyDescent="0.2">
      <c r="A1021" s="1"/>
      <c r="B1021" s="4" t="str">
        <f ca="1">IFERROR(__xludf.DUMMYFUNCTION("""COMPUTED_VALUE"""),"Бизнес-старт для самозанятых ")</f>
        <v xml:space="preserve">Бизнес-старт для самозанятых </v>
      </c>
      <c r="C1021" s="4" t="str">
        <f ca="1">IFERROR(__xludf.DUMMYFUNCTION("""COMPUTED_VALUE"""),"Где искать клиентов и как продавать свои услуги дорого")</f>
        <v>Где искать клиентов и как продавать свои услуги дорого</v>
      </c>
      <c r="D1021" s="1" t="str">
        <f ca="1">IFERROR(__xludf.DUMMYFUNCTION("""COMPUTED_VALUE"""),"- ТОП-5 наиболее выгодных техник лидогенерации
- Холодные прямые продажи
- Контекстная реклама
- Большая тройка социальных сетей: Инстаграм + Фейсбук + Вконтакте
- Долгосрочные инструменты продвижения: SEO и посев
- Работа с блогерами и городскими сообщес"&amp;"твами
- Ивент-маркетинг как ядро двухшаговых продаж
- Оценка эффективности рекламы и базовые метрики оценки
- Конкретные кейсы работы самозанятого. Истории реальных людей 
- Что нужно самозанятому, чтобы продавать дорого в разных сферах")</f>
        <v>- ТОП-5 наиболее выгодных техник лидогенерации
- Холодные прямые продажи
- Контекстная реклама
- Большая тройка социальных сетей: Инстаграм + Фейсбук + Вконтакте
- Долгосрочные инструменты продвижения: SEO и посев
- Работа с блогерами и городскими сообществами
- Ивент-маркетинг как ядро двухшаговых продаж
- Оценка эффективности рекламы и базовые метрики оценки
- Конкретные кейсы работы самозанятого. Истории реальных людей 
- Что нужно самозанятому, чтобы продавать дорого в разных сферах</v>
      </c>
    </row>
    <row r="1022" spans="1:4" ht="38.25" x14ac:dyDescent="0.2">
      <c r="A1022" s="1"/>
      <c r="B1022" s="4" t="str">
        <f ca="1">IFERROR(__xludf.DUMMYFUNCTION("""COMPUTED_VALUE"""),"Бизнес-старт для самозанятых ")</f>
        <v xml:space="preserve">Бизнес-старт для самозанятых </v>
      </c>
      <c r="C1022" s="4" t="str">
        <f ca="1">IFERROR(__xludf.DUMMYFUNCTION("""COMPUTED_VALUE"""),"Основы интернет-маркетинга. SMM-продвижение, управление и коммуникации, актуальные фишки")</f>
        <v>Основы интернет-маркетинга. SMM-продвижение, управление и коммуникации, актуальные фишки</v>
      </c>
      <c r="D1022" s="1" t="str">
        <f ca="1">IFERROR(__xludf.DUMMYFUNCTION("""COMPUTED_VALUE"""),"- Разберём на примере ваши социальные сети
- Что нужно самозанятому, чтобы эффективно продавать в интернете?
- Определение целевой аудитории, для которой вести контент. Как писать простые и цепляющие тексты и как работать со Stories, чтобы их не пролистыв"&amp;"али
- Приложения для создания контента в Инстаграм
- Тренды социальных сетей
- Кейсы самозанятых. Истории реальных людей")</f>
        <v>- Разберём на примере ваши социальные сети
- Что нужно самозанятому, чтобы эффективно продавать в интернете?
- Определение целевой аудитории, для которой вести контент. Как писать простые и цепляющие тексты и как работать со Stories, чтобы их не пролистывали
- Приложения для создания контента в Инстаграм
- Тренды социальных сетей
- Кейсы самозанятых. Истории реальных людей</v>
      </c>
    </row>
    <row r="1023" spans="1:4" ht="12.75" x14ac:dyDescent="0.2">
      <c r="A1023" s="1"/>
      <c r="B1023" s="4"/>
      <c r="C1023" s="4" t="str">
        <f ca="1">IFERROR(__xludf.DUMMYFUNCTION("""COMPUTED_VALUE"""),"Интернет-маркетинг")</f>
        <v>Интернет-маркетинг</v>
      </c>
      <c r="D1023" s="1" t="str">
        <f ca="1">IFERROR(__xludf.DUMMYFUNCTION("""COMPUTED_VALUE"""),"- Разберём на примере ваши социальные сети
- Что нужно самозанятому, чтобы эффективно продавать в интернете?
- Определение целевой аудитории, для которой вести контент. Как писать простые и цепляющие тексты и как работать со Stories, чтобы их не пролистыв"&amp;"али
- Приложения для создания контента в Инстаграм
- Тренды социальных сетей
- Кейсы самозанятых. Истории реальных людей")</f>
        <v>- Разберём на примере ваши социальные сети
- Что нужно самозанятому, чтобы эффективно продавать в интернете?
- Определение целевой аудитории, для которой вести контент. Как писать простые и цепляющие тексты и как работать со Stories, чтобы их не пролистывали
- Приложения для создания контента в Инстаграм
- Тренды социальных сетей
- Кейсы самозанятых. Истории реальных людей</v>
      </c>
    </row>
    <row r="1024" spans="1:4" ht="25.5" x14ac:dyDescent="0.2">
      <c r="A1024" s="1"/>
      <c r="B1024" s="4" t="str">
        <f ca="1">IFERROR(__xludf.DUMMYFUNCTION("""COMPUTED_VALUE"""),"Бизнес-старт для самозанятых ")</f>
        <v xml:space="preserve">Бизнес-старт для самозанятых </v>
      </c>
      <c r="C1024" s="4" t="str">
        <f ca="1">IFERROR(__xludf.DUMMYFUNCTION("""COMPUTED_VALUE"""),"Звезда продаж. Техники переговоров")</f>
        <v>Звезда продаж. Техники переговоров</v>
      </c>
      <c r="D1024" s="1" t="str">
        <f ca="1">IFERROR(__xludf.DUMMYFUNCTION("""COMPUTED_VALUE"""),"- Разберём: этапы продаж в сегменте B2C и основы переговоров
- Опробуем на практике методы импровизации для работы с клиентами
- Разберём людей на типы с помощью техники «Винни Пух»
- Ознакомимся как снимать страх перед общением «не по шаблону», выработае"&amp;"м это умение
- Составим чек-лист подготовки к переговорам с партнерами, подрядчиками и клиентами")</f>
        <v>- Разберём: этапы продаж в сегменте B2C и основы переговоров
- Опробуем на практике методы импровизации для работы с клиентами
- Разберём людей на типы с помощью техники «Винни Пух»
- Ознакомимся как снимать страх перед общением «не по шаблону», выработаем это умение
- Составим чек-лист подготовки к переговорам с партнерами, подрядчиками и клиентами</v>
      </c>
    </row>
    <row r="1025" spans="1:4" ht="38.25" x14ac:dyDescent="0.2">
      <c r="A1025" s="1"/>
      <c r="B1025" s="4" t="str">
        <f ca="1">IFERROR(__xludf.DUMMYFUNCTION("""COMPUTED_VALUE"""),"Бизнес-старт для самозанятых ")</f>
        <v xml:space="preserve">Бизнес-старт для самозанятых </v>
      </c>
      <c r="C1025" s="4" t="str">
        <f ca="1">IFERROR(__xludf.DUMMYFUNCTION("""COMPUTED_VALUE"""),"Презентация лучших гипотез проектов самозанятых. Разбор готовых бизнес-идей с экспертом")</f>
        <v>Презентация лучших гипотез проектов самозанятых. Разбор готовых бизнес-идей с экспертом</v>
      </c>
      <c r="D1025" s="1" t="str">
        <f ca="1">IFERROR(__xludf.DUMMYFUNCTION("""COMPUTED_VALUE"""),"- Презентация лучших гипотез, которые показали свою первую жизнеспособность во время проводимой программы
- Обратная связь от экспертов")</f>
        <v>- Презентация лучших гипотез, которые показали свою первую жизнеспособность во время проводимой программы
- Обратная связь от экспертов</v>
      </c>
    </row>
    <row r="1026" spans="1:4" ht="38.25" x14ac:dyDescent="0.2">
      <c r="A1026" s="1"/>
      <c r="B1026" s="4" t="str">
        <f ca="1">IFERROR(__xludf.DUMMYFUNCTION("""COMPUTED_VALUE"""),"Бизнес-старт для самозанятых ")</f>
        <v xml:space="preserve">Бизнес-старт для самозанятых </v>
      </c>
      <c r="C1026" s="4" t="str">
        <f ca="1">IFERROR(__xludf.DUMMYFUNCTION("""COMPUTED_VALUE"""),"Работа с подрядчиками и партнерами. Разбор готовых бизнес-моделей с экспертом  ")</f>
        <v xml:space="preserve">Работа с подрядчиками и партнерами. Разбор готовых бизнес-моделей с экспертом  </v>
      </c>
      <c r="D1026" s="1" t="str">
        <f ca="1">IFERROR(__xludf.DUMMYFUNCTION("""COMPUTED_VALUE"""),"- Где и как искать подрядчиков
- Каналы для поиска партнеров: сообщества, чаты
- Брифование партнеров и клиентов: как не потерять деньги и найти лучшего  
- Рекомендации по партнерству и работе
- Презентация лучших гипотез проектов самозанятых
- Разбор 2-"&amp;"х бизнес-моделей самозанятых экспертом
- Региональная поддержка для самозанятых")</f>
        <v>- Где и как искать подрядчиков
- Каналы для поиска партнеров: сообщества, чаты
- Брифование партнеров и клиентов: как не потерять деньги и найти лучшего  
- Рекомендации по партнерству и работе
- Презентация лучших гипотез проектов самозанятых
- Разбор 2-х бизнес-моделей самозанятых экспертом
- Региональная поддержка для самозанятых</v>
      </c>
    </row>
    <row r="1027" spans="1:4" ht="38.25" x14ac:dyDescent="0.2">
      <c r="A1027" s="1"/>
      <c r="B1027" s="4" t="str">
        <f ca="1">IFERROR(__xludf.DUMMYFUNCTION("""COMPUTED_VALUE"""),"Безопасность бизнеса")</f>
        <v>Безопасность бизнеса</v>
      </c>
      <c r="C1027" s="4" t="str">
        <f ca="1">IFERROR(__xludf.DUMMYFUNCTION("""COMPUTED_VALUE"""),"Как защитить бизнес от семейных рисков, а семью — от рисков бизнеса")</f>
        <v>Как защитить бизнес от семейных рисков, а семью — от рисков бизнеса</v>
      </c>
      <c r="D1027" s="1" t="str">
        <f ca="1">IFERROR(__xludf.DUMMYFUNCTION("""COMPUTED_VALUE"""),"- «Семейные» риски для бизнеса 
- Раздел имущества супругов 
- Брачный договор 
- Корпоративная защита от вхождения супругов в компанию 
- Наследование бизнеса 
- Правовые инструменты защиты бизнеса от «семейных» рисков 
- Как защитить семью от рисков биз"&amp;"неса?")</f>
        <v>- «Семейные» риски для бизнеса 
- Раздел имущества супругов 
- Брачный договор 
- Корпоративная защита от вхождения супругов в компанию 
- Наследование бизнеса 
- Правовые инструменты защиты бизнеса от «семейных» рисков 
- Как защитить семью от рисков бизнеса?</v>
      </c>
    </row>
    <row r="1028" spans="1:4" ht="38.25" x14ac:dyDescent="0.2">
      <c r="A1028" s="1"/>
      <c r="B1028" s="4" t="str">
        <f ca="1">IFERROR(__xludf.DUMMYFUNCTION("""COMPUTED_VALUE"""),"Безопасность бизнеса")</f>
        <v>Безопасность бизнеса</v>
      </c>
      <c r="C1028" s="4" t="str">
        <f ca="1">IFERROR(__xludf.DUMMYFUNCTION("""COMPUTED_VALUE"""),"Защита интеллектуальной собственности
")</f>
        <v xml:space="preserve">Защита интеллектуальной собственности
</v>
      </c>
      <c r="D1028" s="1" t="str">
        <f ca="1">IFERROR(__xludf.DUMMYFUNCTION("""COMPUTED_VALUE"""),"- Что такое интеллектуальная собственность 
- Где в бизнесе интеллектуальная собственность 
- Как оформить интеллектуальную собственность 
- Как защитить интеллектуальную собственность 
- Выгоды интеллектуальной собственности 
- Монетизация интеллектуальн"&amp;"ой собственности ")</f>
        <v xml:space="preserve">- Что такое интеллектуальная собственность 
- Где в бизнесе интеллектуальная собственность 
- Как оформить интеллектуальную собственность 
- Как защитить интеллектуальную собственность 
- Выгоды интеллектуальной собственности 
- Монетизация интеллектуальной собственности </v>
      </c>
    </row>
    <row r="1029" spans="1:4" ht="25.5" x14ac:dyDescent="0.2">
      <c r="A1029" s="1"/>
      <c r="B1029" s="4" t="str">
        <f ca="1">IFERROR(__xludf.DUMMYFUNCTION("""COMPUTED_VALUE"""),"Безопасность бизнеса")</f>
        <v>Безопасность бизнеса</v>
      </c>
      <c r="C1029" s="4" t="str">
        <f ca="1">IFERROR(__xludf.DUMMYFUNCTION("""COMPUTED_VALUE"""),"Что делать, если к Вам пришла проверка")</f>
        <v>Что делать, если к Вам пришла проверка</v>
      </c>
      <c r="D1029" s="1" t="str">
        <f ca="1">IFERROR(__xludf.DUMMYFUNCTION("""COMPUTED_VALUE"""),"- Кто может нас проверять и что именно они проверяют
- Особые виды проверок: налоговая и полиция
- Как проходит налоговая проверка
- Как защитить себя во время и после проверки
- Что нужно сделать, чтобы уже сейчас подготовиться к проверке")</f>
        <v>- Кто может нас проверять и что именно они проверяют
- Особые виды проверок: налоговая и полиция
- Как проходит налоговая проверка
- Как защитить себя во время и после проверки
- Что нужно сделать, чтобы уже сейчас подготовиться к проверке</v>
      </c>
    </row>
    <row r="1030" spans="1:4" ht="25.5" x14ac:dyDescent="0.2">
      <c r="A1030" s="1"/>
      <c r="B1030" s="4" t="str">
        <f ca="1">IFERROR(__xludf.DUMMYFUNCTION("""COMPUTED_VALUE"""),"Безопасность бизнеса")</f>
        <v>Безопасность бизнеса</v>
      </c>
      <c r="C1030" s="4" t="str">
        <f ca="1">IFERROR(__xludf.DUMMYFUNCTION("""COMPUTED_VALUE"""),"Информационная безопасность бизнеса")</f>
        <v>Информационная безопасность бизнеса</v>
      </c>
      <c r="D1030" s="1" t="str">
        <f ca="1">IFERROR(__xludf.DUMMYFUNCTION("""COMPUTED_VALUE"""),"- Система информационной безопасности компании
- Реализация требований закона о персональных данных на предприятии
- Организация режима коммерческой тайны на предприятии
- Персонал: внутренняя угроза
- Корпоративный шпионаж
- Средства защиты информации
- "&amp;"Аудит информационной безопасности")</f>
        <v>- Система информационной безопасности компании
- Реализация требований закона о персональных данных на предприятии
- Организация режима коммерческой тайны на предприятии
- Персонал: внутренняя угроза
- Корпоративный шпионаж
- Средства защиты информации
- Аудит информационной безопасности</v>
      </c>
    </row>
    <row r="1031" spans="1:4" ht="63.75" x14ac:dyDescent="0.2">
      <c r="A1031" s="1"/>
      <c r="B1031" s="4" t="str">
        <f ca="1">IFERROR(__xludf.DUMMYFUNCTION("""COMPUTED_VALUE"""),"Безопасность бизнеса")</f>
        <v>Безопасность бизнеса</v>
      </c>
      <c r="C1031" s="4" t="str">
        <f ca="1">IFERROR(__xludf.DUMMYFUNCTION("""COMPUTED_VALUE"""),"Защита бизнеса и собственников от недобросовестных действий генеральных директоров. Ответственность собственников бизнеса")</f>
        <v>Защита бизнеса и собственников от недобросовестных действий генеральных директоров. Ответственность собственников бизнеса</v>
      </c>
      <c r="D1031" s="1" t="str">
        <f ca="1">IFERROR(__xludf.DUMMYFUNCTION("""COMPUTED_VALUE"""),"- Круг лиц, с которых можно взыскать убытки в пользу компании
- Основания для взыскания убытков
- Минимизация рисков директора
- Жизнь после взыскания убытков
- Круг ответственных контролирующих лиц 
- Ответственность за вред кредиторам, за неподачу заявл"&amp;"ения")</f>
        <v>- Круг лиц, с которых можно взыскать убытки в пользу компании
- Основания для взыскания убытков
- Минимизация рисков директора
- Жизнь после взыскания убытков
- Круг ответственных контролирующих лиц 
- Ответственность за вред кредиторам, за неподачу заявления</v>
      </c>
    </row>
    <row r="1032" spans="1:4" ht="25.5" x14ac:dyDescent="0.2">
      <c r="A1032" s="1"/>
      <c r="B1032" s="4" t="str">
        <f ca="1">IFERROR(__xludf.DUMMYFUNCTION("""COMPUTED_VALUE"""),"Безопасность бизнеса")</f>
        <v>Безопасность бизнеса</v>
      </c>
      <c r="C1032" s="4" t="str">
        <f ca="1">IFERROR(__xludf.DUMMYFUNCTION("""COMPUTED_VALUE"""),"Финансовая безопасность бизнеса")</f>
        <v>Финансовая безопасность бизнеса</v>
      </c>
      <c r="D1032" s="1" t="str">
        <f ca="1">IFERROR(__xludf.DUMMYFUNCTION("""COMPUTED_VALUE"""),"- Как снизить риски уже сегодня
- Как правильно вести налоговый учет, чтобы сохранить бюджет и не терять деньги
- За что могут наказать собственника
- Как защитить себя от штрафов и потерь
- Как сделать так, чтобы не было кассовых разрывов")</f>
        <v>- Как снизить риски уже сегодня
- Как правильно вести налоговый учет, чтобы сохранить бюджет и не терять деньги
- За что могут наказать собственника
- Как защитить себя от штрафов и потерь
- Как сделать так, чтобы не было кассовых разрывов</v>
      </c>
    </row>
    <row r="1033" spans="1:4" ht="25.5" x14ac:dyDescent="0.2">
      <c r="A1033" s="1"/>
      <c r="B1033" s="4" t="str">
        <f ca="1">IFERROR(__xludf.DUMMYFUNCTION("""COMPUTED_VALUE"""),"Безопасность бизнеса")</f>
        <v>Безопасность бизнеса</v>
      </c>
      <c r="C1033" s="4" t="str">
        <f ca="1">IFERROR(__xludf.DUMMYFUNCTION("""COMPUTED_VALUE"""),"Защита предпринимателя от уголовных преследований")</f>
        <v>Защита предпринимателя от уголовных преследований</v>
      </c>
      <c r="D1033" s="1" t="str">
        <f ca="1">IFERROR(__xludf.DUMMYFUNCTION("""COMPUTED_VALUE"""),"- К какой ответственности могут привлекаться владельцы и руководители бизнеса
- Как защищаться владельцам и руководителям бизнеса
- Как иметь «на всякий случай» адвоката
- Как не слушать адвоката по назначению
- Как не признавать свою вину, когда на этом "&amp;"настаивает сторона обвинение и адвокат по назначению
- Практические рекомендации")</f>
        <v>- К какой ответственности могут привлекаться владельцы и руководители бизнеса
- Как защищаться владельцам и руководителям бизнеса
- Как иметь «на всякий случай» адвоката
- Как не слушать адвоката по назначению
- Как не признавать свою вину, когда на этом настаивает сторона обвинение и адвокат по назначению
- Практические рекомендации</v>
      </c>
    </row>
    <row r="1034" spans="1:4" ht="25.5" x14ac:dyDescent="0.2">
      <c r="A1034" s="1"/>
      <c r="B1034" s="4" t="str">
        <f ca="1">IFERROR(__xludf.DUMMYFUNCTION("""COMPUTED_VALUE"""),"Безопасность бизнеса")</f>
        <v>Безопасность бизнеса</v>
      </c>
      <c r="C1034" s="4" t="str">
        <f ca="1">IFERROR(__xludf.DUMMYFUNCTION("""COMPUTED_VALUE"""),"30 решений для бизнеса, которые должен знать собственник")</f>
        <v>30 решений для бизнеса, которые должен знать собственник</v>
      </c>
      <c r="D1034" s="1" t="str">
        <f ca="1">IFERROR(__xludf.DUMMYFUNCTION("""COMPUTED_VALUE"""),"- Оформление отношений с бизнес-партнерами, инвесторами 
- Правовые рекомендации при найме и конфликтном увольнении персонала 
- Мотивация сотрудников и внедрение KPI в трудовых договорах
- Безопасное выстраивание отношений с клиентами в b2b и b2с 
- Подв"&amp;"одные камни исполнения и расторжения договоров, которые приводят к судебным спорам
- Проверки контрольно-надзорных органов, снижение административных штрафов")</f>
        <v>- Оформление отношений с бизнес-партнерами, инвесторами 
- Правовые рекомендации при найме и конфликтном увольнении персонала 
- Мотивация сотрудников и внедрение KPI в трудовых договорах
- Безопасное выстраивание отношений с клиентами в b2b и b2с 
- Подводные камни исполнения и расторжения договоров, которые приводят к судебным спорам
- Проверки контрольно-надзорных органов, снижение административных штрафов</v>
      </c>
    </row>
    <row r="1035" spans="1:4" ht="25.5" x14ac:dyDescent="0.2">
      <c r="A1035" s="1"/>
      <c r="B1035" s="4" t="str">
        <f ca="1">IFERROR(__xludf.DUMMYFUNCTION("""COMPUTED_VALUE"""),"Модуль")</f>
        <v>Модуль</v>
      </c>
      <c r="C1035" s="4" t="str">
        <f ca="1">IFERROR(__xludf.DUMMYFUNCTION("""COMPUTED_VALUE"""),"Разработка/формализация стратегии развития бизнеса")</f>
        <v>Разработка/формализация стратегии развития бизнеса</v>
      </c>
      <c r="D1035" s="1" t="str">
        <f ca="1">IFERROR(__xludf.DUMMYFUNCTION("""COMPUTED_VALUE"""),"- Ключевые принципы стратегического управления
- Выделение стратегических бизнес-единиц (СБЕ)
- Определение приоритетных рынков и клиентов на ближайшую перспективу
- Технология анализа рынков стратегических бизнес-единиц
- Актуализация стратегических целе"&amp;"й в четырех перспективах (финансы, клиенты, внутренние процессы, персонал/инфраструктура)
- Разработка плана стратегических мероприятий по достижению поставленных целей на основе предложенных показателей
- Взаимосвязь стратегического и оперативного контур"&amp;"ов управления")</f>
        <v>- Ключевые принципы стратегического управления
- Выделение стратегических бизнес-единиц (СБЕ)
- Определение приоритетных рынков и клиентов на ближайшую перспективу
- Технология анализа рынков стратегических бизнес-единиц
- Актуализация стратегических целей в четырех перспективах (финансы, клиенты, внутренние процессы, персонал/инфраструктура)
- Разработка плана стратегических мероприятий по достижению поставленных целей на основе предложенных показателей
- Взаимосвязь стратегического и оперативного контуров управления</v>
      </c>
    </row>
    <row r="1036" spans="1:4" ht="12.75" x14ac:dyDescent="0.2">
      <c r="A1036" s="1"/>
      <c r="B1036" s="4" t="str">
        <f ca="1">IFERROR(__xludf.DUMMYFUNCTION("""COMPUTED_VALUE"""),"Модуль")</f>
        <v>Модуль</v>
      </c>
      <c r="C1036" s="4" t="str">
        <f ca="1">IFERROR(__xludf.DUMMYFUNCTION("""COMPUTED_VALUE"""),"Как привлечь инвестиции")</f>
        <v>Как привлечь инвестиции</v>
      </c>
      <c r="D1036" s="1" t="str">
        <f ca="1">IFERROR(__xludf.DUMMYFUNCTION("""COMPUTED_VALUE"""),"- Инвестиции: стоит ли брать деньги у инвесторов?
- Каким требованиям должны соответствовать проект и команда, чтобы быть интересными для инвесторов.
- Ожидания инвесторов?
- Где найти инвесторов для своего проекта?
- Как составить предложение для инвесто"&amp;"ров?
- Как упаковать новый или действующий проект для привлечения инвесторов?
- На каких условиях можно привлечь деньги от инвесторов?")</f>
        <v>- Инвестиции: стоит ли брать деньги у инвесторов?
- Каким требованиям должны соответствовать проект и команда, чтобы быть интересными для инвесторов.
- Ожидания инвесторов?
- Где найти инвесторов для своего проекта?
- Как составить предложение для инвесторов?
- Как упаковать новый или действующий проект для привлечения инвесторов?
- На каких условиях можно привлечь деньги от инвесторов?</v>
      </c>
    </row>
    <row r="1037" spans="1:4" ht="51" x14ac:dyDescent="0.2">
      <c r="A1037" s="1"/>
      <c r="B1037" s="4" t="str">
        <f ca="1">IFERROR(__xludf.DUMMYFUNCTION("""COMPUTED_VALUE"""),"Модуль")</f>
        <v>Модуль</v>
      </c>
      <c r="C1037" s="4" t="str">
        <f ca="1">IFERROR(__xludf.DUMMYFUNCTION("""COMPUTED_VALUE"""),"Возможности роста и развития. Выбор модели масштабирования: филиалы, дилеры и дистрибуция, франчайзинг")</f>
        <v>Возможности роста и развития. Выбор модели масштабирования: филиалы, дилеры и дистрибуция, франчайзинг</v>
      </c>
      <c r="D1037" s="1" t="str">
        <f ca="1">IFERROR(__xludf.DUMMYFUNCTION("""COMPUTED_VALUE"""),"- Принципы выбора модели роста и развития
- Плюсы и минусы модели масштабирования: филиалы, дилеры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б"&amp;"изнеса
- Принципы построения сети при масштабировании. Рычаги управления сетью")</f>
        <v>- Принципы выбора модели роста и развития
- Плюсы и минусы модели масштабирования: филиалы, дилеры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бизнеса
- Принципы построения сети при масштабировании. Рычаги управления сетью</v>
      </c>
    </row>
    <row r="1038" spans="1:4" ht="51" x14ac:dyDescent="0.2">
      <c r="A1038" s="1"/>
      <c r="B1038" s="4"/>
      <c r="C1038" s="4" t="str">
        <f ca="1">IFERROR(__xludf.DUMMYFUNCTION("""COMPUTED_VALUE"""),"Возможности роста и развития. Выбор модели масштабирования: филиалы, дилеры и дистрибуция, франчайзинг")</f>
        <v>Возможности роста и развития. Выбор модели масштабирования: филиалы, дилеры и дистрибуция, франчайзинг</v>
      </c>
      <c r="D1038" s="1" t="str">
        <f ca="1">IFERROR(__xludf.DUMMYFUNCTION("""COMPUTED_VALUE"""),"- Принципы выбора модели роста и развития
- Плюсы и минусы модели масштабирования: филиалы, дилеры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б"&amp;"изнеса
- Принципы построения сети при масштабировании. Рычаги управления сетью")</f>
        <v>- Принципы выбора модели роста и развития
- Плюсы и минусы модели масштабирования: филиалы, дилеры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бизнеса
- Принципы построения сети при масштабировании. Рычаги управления сетью</v>
      </c>
    </row>
    <row r="1039" spans="1:4" ht="25.5" x14ac:dyDescent="0.2">
      <c r="A1039" s="1"/>
      <c r="B1039" s="4" t="str">
        <f ca="1">IFERROR(__xludf.DUMMYFUNCTION("""COMPUTED_VALUE"""),"Модуль")</f>
        <v>Модуль</v>
      </c>
      <c r="C1039" s="4" t="str">
        <f ca="1">IFERROR(__xludf.DUMMYFUNCTION("""COMPUTED_VALUE"""),"Масштабирование бизнеса. Создание франчайзинговой сети")</f>
        <v>Масштабирование бизнеса. Создание франчайзинговой сети</v>
      </c>
      <c r="D1039" s="1" t="str">
        <f ca="1">IFERROR(__xludf.DUMMYFUNCTION("""COMPUTED_VALUE"""),"- Способы масштабирования бизнеса
- Особенностях регионального франчайзинга в России
- 10 главных проблем франчайзинга
- Как управлять франчайзинговой сетью?
- Как упаковать свою франшизу?")</f>
        <v>- Способы масштабирования бизнеса
- Особенностях регионального франчайзинга в России
- 10 главных проблем франчайзинга
- Как управлять франчайзинговой сетью?
- Как упаковать свою франшизу?</v>
      </c>
    </row>
    <row r="1040" spans="1:4" ht="12.75" x14ac:dyDescent="0.2">
      <c r="A1040" s="1"/>
      <c r="B1040" s="4" t="str">
        <f ca="1">IFERROR(__xludf.DUMMYFUNCTION("""COMPUTED_VALUE"""),"Модуль")</f>
        <v>Модуль</v>
      </c>
      <c r="C1040" s="4" t="str">
        <f ca="1">IFERROR(__xludf.DUMMYFUNCTION("""COMPUTED_VALUE"""),"Диверсификация бизнеса")</f>
        <v>Диверсификация бизнеса</v>
      </c>
      <c r="D1040" s="1" t="str">
        <f ca="1">IFERROR(__xludf.DUMMYFUNCTION("""COMPUTED_VALUE"""),"- Как улучшить привлекательности товара благодаря его разнообразию?
- Как правильно оценить текущее и дальнейшее положение фирмы?
- Когда нужна диверсификация бизнеса?
- Какие существуют типы стратегий диверсификации")</f>
        <v>- Как улучшить привлекательности товара благодаря его разнообразию?
- Как правильно оценить текущее и дальнейшее положение фирмы?
- Когда нужна диверсификация бизнеса?
- Какие существуют типы стратегий диверсификации</v>
      </c>
    </row>
    <row r="1041" spans="1:4" ht="25.5" x14ac:dyDescent="0.2">
      <c r="A1041" s="1"/>
      <c r="B1041" s="4"/>
      <c r="C1041" s="4" t="str">
        <f ca="1">IFERROR(__xludf.DUMMYFUNCTION("""COMPUTED_VALUE"""),"Активные продажи. Как продавать больше?")</f>
        <v>Активные продажи. Как продавать больше?</v>
      </c>
      <c r="D1041" s="1" t="str">
        <f ca="1">IFERROR(__xludf.DUMMYFUNCTION("""COMPUTED_VALUE"""),"- Этапы продаж, основные техники и алгоритмы
- Подготовка к продажам: понятие «воронка продаж», каналы поиска клиентов, матрица конкурентов
- Эффективные переговоры: установление контакта с Клиентом, выявление потребностей и возможностей Клиента, представ"&amp;"ление товаров и услуг, аргументация цены, работа с возражениями, закрытие сделки
- Жесткие переговоры: техники эффективного реагирования на манипуляции, возражения, сомнения Клиентов 
- Телефонные продажи. Как продавать с помощью холодных звонков?")</f>
        <v>- Этапы продаж, основные техники и алгоритмы
- Подготовка к продажам: понятие «воронка продаж», каналы поиска клиентов, матрица конкурентов
- Эффективные переговоры: установление контакта с Клиентом, выявление потребностей и возможностей Клиента, представление товаров и услуг, аргументация цены, работа с возражениями, закрытие сделки
- Жесткие переговоры: техники эффективного реагирования на манипуляции, возражения, сомнения Клиентов 
- Телефонные продажи. Как продавать с помощью холодных звонков?</v>
      </c>
    </row>
    <row r="1042" spans="1:4" ht="38.25" x14ac:dyDescent="0.2">
      <c r="A1042" s="1"/>
      <c r="B1042" s="4"/>
      <c r="C1042" s="4" t="str">
        <f ca="1">IFERROR(__xludf.DUMMYFUNCTION("""COMPUTED_VALUE"""),"Эффективные переговоры в продажах. Как завершать сделками любые переговоры?")</f>
        <v>Эффективные переговоры в продажах. Как завершать сделками любые переговоры?</v>
      </c>
      <c r="D1042" s="1" t="str">
        <f ca="1">IFERROR(__xludf.DUMMYFUNCTION("""COMPUTED_VALUE"""),"- Введение в переговоры: определение, виды, стратегии
- Психологические и эмоциональные аспекты успешных переговоров
- Типология клиентов: DISC
- Подготовка к переговорам, открытие переговоров
- Выяснение позиции (ситуации, потребности) клиента
- Презента"&amp;"ция предложения, работа с возражениями, закрытие сделки")</f>
        <v>- Введение в переговоры: определение, виды, стратегии
- Психологические и эмоциональные аспекты успешных переговоров
- Типология клиентов: DISC
- Подготовка к переговорам, открытие переговоров
- Выяснение позиции (ситуации, потребности) клиента
- Презентация предложения, работа с возражениями, закрытие сделки</v>
      </c>
    </row>
    <row r="1043" spans="1:4" ht="38.25" x14ac:dyDescent="0.2">
      <c r="A1043" s="1"/>
      <c r="B1043" s="4"/>
      <c r="C1043" s="4" t="str">
        <f ca="1">IFERROR(__xludf.DUMMYFUNCTION("""COMPUTED_VALUE"""),"Отдел продаж. Как создать и настроить работу эффективного отдела продаж?")</f>
        <v>Отдел продаж. Как создать и настроить работу эффективного отдела продаж?</v>
      </c>
      <c r="D1043" s="1" t="str">
        <f ca="1">IFERROR(__xludf.DUMMYFUNCTION("""COMPUTED_VALUE"""),"- Структура отдела продаж. Этапы развития отдела продаж и распределение ролей в нём 
- Подбор эффективной команды: определение портрета идеального кандидата, поиск, отбор 
- Управление менеджерами отдела продаж и РОПа: как мотивировать, ставить задачу и к"&amp;"онтролировать
- Система обучения менеджеров по продажам: скрипты, алгоритмы, система наставничества
- Автоматизация системы продаж: CRM и другие цифровые помощники 
- Система безопасности продаж. Как сохранить базу и клиентов
- Sales book (книга продаж): "&amp;"структура, типовые шаблоны, методика разработки")</f>
        <v>- Структура отдела продаж. Этапы развития отдела продаж и распределение ролей в нём 
- Подбор эффективной команды: определение портрета идеального кандидата, поиск, отбор 
- Управление менеджерами отдела продаж и РОПа: как мотивировать, ставить задачу и контролировать
- Система обучения менеджеров по продажам: скрипты, алгоритмы, система наставничества
- Автоматизация системы продаж: CRM и другие цифровые помощники 
- Система безопасности продаж. Как сохранить базу и клиентов
- Sales book (книга продаж): структура, типовые шаблоны, методика разработки</v>
      </c>
    </row>
    <row r="1044" spans="1:4" ht="38.25" x14ac:dyDescent="0.2">
      <c r="A1044" s="1"/>
      <c r="B1044" s="4"/>
      <c r="C1044" s="4" t="str">
        <f ca="1">IFERROR(__xludf.DUMMYFUNCTION("""COMPUTED_VALUE"""),"Эффективная работа с клиентами. Сопровождение и развитие постоянных клиентов")</f>
        <v>Эффективная работа с клиентами. Сопровождение и развитие постоянных клиентов</v>
      </c>
      <c r="D1044" s="1" t="str">
        <f ca="1">IFERROR(__xludf.DUMMYFUNCTION("""COMPUTED_VALUE"""),"- Технологии построения долгосрочных отношений с клиентом
- Логика переговорного процесса в процессе сопровождения
- Технологии удержания клиента и работы с его лояльностью
- Тактики расширения объемов продаж
- Активная работа с клиентской базой: правила "&amp;"обзвона, upsell
- Возобновление отношений с клиентами, которые ранее обращались в компанию. Работа с возражениями
- Структура телефонного контакта с клиентом
- Правила продающей переписки: емейлы, мессенджеры, социальные сети")</f>
        <v>- Технологии построения долгосрочных отношений с клиентом
- Логика переговорного процесса в процессе сопровождения
- Технологии удержания клиента и работы с его лояльностью
- Тактики расширения объемов продаж
- Активная работа с клиентской базой: правила обзвона, upsell
- Возобновление отношений с клиентами, которые ранее обращались в компанию. Работа с возражениями
- Структура телефонного контакта с клиентом
- Правила продающей переписки: емейлы, мессенджеры, социальные сети</v>
      </c>
    </row>
    <row r="1045" spans="1:4" ht="25.5" x14ac:dyDescent="0.2">
      <c r="A1045" s="1"/>
      <c r="B1045" s="4"/>
      <c r="C1045" s="4" t="str">
        <f ca="1">IFERROR(__xludf.DUMMYFUNCTION("""COMPUTED_VALUE"""),"Как сделать результат х2 за счет самодисциплины?")</f>
        <v>Как сделать результат х2 за счет самодисциплины?</v>
      </c>
      <c r="D1045" s="1" t="str">
        <f ca="1">IFERROR(__xludf.DUMMYFUNCTION("""COMPUTED_VALUE"""),"- Хочу-надо-важно. Что выбрать?
- Треугольник приятных решений
- Якоря и цепи. Что мешает двигаться вперед?
- Рельсы. Как начать действовать по-новому
- Пузырики. Как выполнять 97% задач?
- Как развить состояние одержимости?
- Скала. Умение говорить «нет»"&amp;"
- Фокус и концентрация ментального ниндзя
- Самое идеальное действие для достижения результата
- Причем тут самодисциплина и что такое ритуалы воина")</f>
        <v>- Хочу-надо-важно. Что выбрать?
- Треугольник приятных решений
- Якоря и цепи. Что мешает двигаться вперед?
- Рельсы. Как начать действовать по-новому
- Пузырики. Как выполнять 97% задач?
- Как развить состояние одержимости?
- Скала. Умение говорить «нет»
- Фокус и концентрация ментального ниндзя
- Самое идеальное действие для достижения результата
- Причем тут самодисциплина и что такое ритуалы воина</v>
      </c>
    </row>
    <row r="1046" spans="1:4" ht="38.25" x14ac:dyDescent="0.2">
      <c r="A1046" s="1"/>
      <c r="B1046" s="4"/>
      <c r="C1046" s="4" t="str">
        <f ca="1">IFERROR(__xludf.DUMMYFUNCTION("""COMPUTED_VALUE"""),"Образ как инструмент достижения бизнес целей Быстро Системно Результативно")</f>
        <v>Образ как инструмент достижения бизнес целей Быстро Системно Результативно</v>
      </c>
      <c r="D1046" s="1" t="str">
        <f ca="1">IFERROR(__xludf.DUMMYFUNCTION("""COMPUTED_VALUE"""),"- Грамотное позиционирование себя и компании
- Бесплатное продвижение компании через грамотный образ лидера компании
- Построение карьеры мечты, когда у Вас правильный посыл Вас заметят люди от которых зависит принятие решения
- Грамотное позиционирование"&amp;" личного образа для СМИ, блогеров и ЛОМов региона (для гос служащих)")</f>
        <v>- Грамотное позиционирование себя и компании
- Бесплатное продвижение компании через грамотный образ лидера компании
- Построение карьеры мечты, когда у Вас правильный посыл Вас заметят люди от которых зависит принятие решения
- Грамотное позиционирование личного образа для СМИ, блогеров и ЛОМов региона (для гос служащих)</v>
      </c>
    </row>
    <row r="1047" spans="1:4" ht="38.25" x14ac:dyDescent="0.2">
      <c r="A1047" s="1"/>
      <c r="B1047" s="4"/>
      <c r="C1047" s="4" t="str">
        <f ca="1">IFERROR(__xludf.DUMMYFUNCTION("""COMPUTED_VALUE"""),"Практика осознанного прохода к управлению ресурсным состоянием")</f>
        <v>Практика осознанного прохода к управлению ресурсным состоянием</v>
      </c>
      <c r="D1047" s="1" t="str">
        <f ca="1">IFERROR(__xludf.DUMMYFUNCTION("""COMPUTED_VALUE"""),"- Повышение коммуникативных умений, навыков, позволяющих улучшить работу с командой
- Повышение уровня своей эффективности, осознанности и внимательности в жизни
- Выработка эффективных методов для контроля негативных эмоциональных состояний
- Формировани"&amp;"е навыков антистрессового поведения при работе в сложных конфликтных ситуациях
- Формирование личной стратегии управления энергией")</f>
        <v>- Повышение коммуникативных умений, навыков, позволяющих улучшить работу с командой
- Повышение уровня своей эффективности, осознанности и внимательности в жизни
- Выработка эффективных методов для контроля негативных эмоциональных состояний
- Формирование навыков антистрессового поведения при работе в сложных конфликтных ситуациях
- Формирование личной стратегии управления энергией</v>
      </c>
    </row>
    <row r="1048" spans="1:4" ht="25.5" x14ac:dyDescent="0.2">
      <c r="A1048" s="1"/>
      <c r="B1048" s="4"/>
      <c r="C1048" s="4" t="str">
        <f ca="1">IFERROR(__xludf.DUMMYFUNCTION("""COMPUTED_VALUE"""),"Управленческие навыки руководителя")</f>
        <v>Управленческие навыки руководителя</v>
      </c>
      <c r="D1048" s="1" t="str">
        <f ca="1">IFERROR(__xludf.DUMMYFUNCTION("""COMPUTED_VALUE"""),"- Роль менеджера
- Планирование и постановка целей
- Делегирование и контроль, обратная связь подчиненному по результатам работы
- Мотивация сотрудников, управленческая коммуникация
- Активное слушание и вопросы, инструменты убеждения
- Профилактика возни"&amp;"кновения неконструктивного взаимодействия и работа с конфликтами")</f>
        <v>- Роль менеджера
- Планирование и постановка целей
- Делегирование и контроль, обратная связь подчиненному по результатам работы
- Мотивация сотрудников, управленческая коммуникация
- Активное слушание и вопросы, инструменты убеждения
- Профилактика возникновения неконструктивного взаимодействия и работа с конфликтами</v>
      </c>
    </row>
    <row r="1049" spans="1:4" ht="25.5" x14ac:dyDescent="0.2">
      <c r="A1049" s="1"/>
      <c r="B1049" s="4"/>
      <c r="C1049" s="4" t="str">
        <f ca="1">IFERROR(__xludf.DUMMYFUNCTION("""COMPUTED_VALUE"""),"Упаковка бизнеса и стратегия продвижения в интернете")</f>
        <v>Упаковка бизнеса и стратегия продвижения в интернете</v>
      </c>
      <c r="D1049" s="1" t="str">
        <f ca="1">IFERROR(__xludf.DUMMYFUNCTION("""COMPUTED_VALUE"""),"-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р"&amp;"екламы?
- Разбор 6 быстрых схем привлечения клиентов за 1 день
- Схема работы с подрядчиками, критерии выбора")</f>
        <v>- Как определить золотую целевую аудиторию?
- Как создать сайт, который будет продавать?
- 30+ инструментов увеличения конверсии точек контакта
- Основные каналы продвижения в интернете
- Как создать торговое предложение?
- Как получать на 30% больше от рекламы?
- Разбор 6 быстрых схем привлечения клиентов за 1 день
- Схема работы с подрядчиками, критерии выбора</v>
      </c>
    </row>
    <row r="1050" spans="1:4" ht="25.5" x14ac:dyDescent="0.2">
      <c r="A1050" s="1"/>
      <c r="B1050" s="4"/>
      <c r="C1050" s="4" t="str">
        <f ca="1">IFERROR(__xludf.DUMMYFUNCTION("""COMPUTED_VALUE"""),"Упаковка бизнеса и стратегия продвижения в интернете")</f>
        <v>Упаковка бизнеса и стратегия продвижения в интернете</v>
      </c>
      <c r="D1050" s="1" t="str">
        <f ca="1">IFERROR(__xludf.DUMMYFUNCTION("""COMPUTED_VALUE"""),"- Создание упаковки и прототипа продающего сайта
- Создание собственного сайта на конструкторе
- 30+ факторов повышения конверсии на сайте
- Создание разных посадочных страниц по целевые аудитории
- Как составить техническое задания для исполнителей?
- Ка"&amp;"к найти правильных исполнителей и проконтролировать их работу?
- Как создать сайт за 1 вечер и быстро протестировать нишу?
- Какие сделать, чтобы сайт продавал автоматически?")</f>
        <v>- Создание упаковки и прототипа продающего сайта
- Создание собственного сайта на конструкторе
- 30+ факторов повышения конверсии на сайте
- Создание разных посадочных страниц по целевые аудитории
- Как составить техническое задания для исполнителей?
- Как найти правильных исполнителей и проконтролировать их работу?
- Как создать сайт за 1 вечер и быстро протестировать нишу?
- Какие сделать, чтобы сайт продавал автоматически?</v>
      </c>
    </row>
    <row r="1051" spans="1:4" ht="25.5" x14ac:dyDescent="0.2">
      <c r="A1051" s="1"/>
      <c r="B1051" s="4"/>
      <c r="C1051" s="4" t="str">
        <f ca="1">IFERROR(__xludf.DUMMYFUNCTION("""COMPUTED_VALUE"""),"Контекстная и таргетированная реклама ")</f>
        <v xml:space="preserve">Контекстная и таргетированная реклама </v>
      </c>
      <c r="D1051" s="1" t="str">
        <f ca="1">IFERROR(__xludf.DUMMYFUNCTION("""COMPUTED_VALUE"""),"- Какую рекламу выбрать: контекстную или таргетированную?
- Куда направлять рекламу? Выбор посадочных страниц под направления бизнеса
- Принципы работы рекламы и основные отличия
- Как сделать рекламу эффективной в условиях массовой конкуренции?
- Как выд"&amp;"елиться среди конкурентов, креативы и лайфхаки?
- Как посчитать сколько стоит клиент и сколько приносит прибыли?
- Просчет ROMI, конверсий и анализ эффективности
- Научимся делать продающие объявления
- Как работать с подрядчиками. ТОП-5 лайфхаков
- Как п"&amp;"исать заголовки, которые продают в 2 раза больше?
- Как получать на 30% больше от рекламы за 10 минут?")</f>
        <v>- Какую рекламу выбрать: контекстную или таргетированную?
- Куда направлять рекламу? Выбор посадочных страниц под направления бизнеса
- Принципы работы рекламы и основные отличия
- Как сделать рекламу эффективной в условиях массовой конкуренции?
- Как выделиться среди конкурентов, креативы и лайфхаки?
- Как посчитать сколько стоит клиент и сколько приносит прибыли?
- Просчет ROMI, конверсий и анализ эффективности
- Научимся делать продающие объявления
- Как работать с подрядчиками. ТОП-5 лайфхаков
- Как писать заголовки, которые продают в 2 раза больше?
- Как получать на 30% больше от рекламы за 10 минут?</v>
      </c>
    </row>
    <row r="1052" spans="1:4" ht="51" x14ac:dyDescent="0.2">
      <c r="A1052" s="1"/>
      <c r="B1052" s="4" t="str">
        <f ca="1">IFERROR(__xludf.DUMMYFUNCTION("""COMPUTED_VALUE"""),"Модуль")</f>
        <v>Модуль</v>
      </c>
      <c r="C1052" s="4" t="str">
        <f ca="1">IFERROR(__xludf.DUMMYFUNCTION("""COMPUTED_VALUE"""),"Продвижение бизнеса в социальных сетях: от создания стратегии до привлечения клиентов")</f>
        <v>Продвижение бизнеса в социальных сетях: от создания стратегии до привлечения клиентов</v>
      </c>
      <c r="D1052" s="1" t="str">
        <f ca="1">IFERROR(__xludf.DUMMYFUNCTION("""COMPUTED_VALUE"""),"- Какому бизнесу подходят социальные сети
- Как создать стратегию бренда на основе анализа конкурентов и собственного бренда
- Как правильно писать контент для вовлечения аудитории
- Как набрать подписчиков с помощью бесплатных методов: поисковая оптимиза"&amp;"ция, коллаборации, партнерство, блогинг
- Как набрать подписчиков с помощью платной рекламы
- Как получать лидов внутри соцсетей и закрывать их на продажу
- Как настроить повторные продажи с помощью полезного контента")</f>
        <v>- Какому бизнесу подходят социальные сети
- Как создать стратегию бренда на основе анализа конкурентов и собственного бренда
- Как правильно писать контент для вовлечения аудитории
- Как набрать подписчиков с помощью бесплатных методов: поисковая оптимизация, коллаборации, партнерство, блогинг
- Как набрать подписчиков с помощью платной рекламы
- Как получать лидов внутри соцсетей и закрывать их на продажу
- Как настроить повторные продажи с помощью полезного контента</v>
      </c>
    </row>
    <row r="1053" spans="1:4" ht="25.5" x14ac:dyDescent="0.2">
      <c r="A1053" s="1"/>
      <c r="B1053" s="4" t="str">
        <f ca="1">IFERROR(__xludf.DUMMYFUNCTION("""COMPUTED_VALUE"""),"Модуль")</f>
        <v>Модуль</v>
      </c>
      <c r="C1053" s="4" t="str">
        <f ca="1">IFERROR(__xludf.DUMMYFUNCTION("""COMPUTED_VALUE"""),"Система инструментов интернет-маркетинга")</f>
        <v>Система инструментов интернет-маркетинга</v>
      </c>
      <c r="D1053" s="1" t="str">
        <f ca="1">IFERROR(__xludf.DUMMYFUNCTION("""COMPUTED_VALUE"""),"- Сегментирование целевой аудитории для целей продвижения в интернете
- Современные подходы. Маркетинговые исследования в сети
- Определение спроса на продаваемые товары и/или услуги
- Система интернет-маркетинговых инструментов: веб-аналитика, веб-сайт, "&amp;"поисковое продвижение, реклама в интернете, работа с социальными медиа
- Этапы разработки стратегии продвижения в интернете. Составление бизнес-плана
- Основные показатели эффективности продвижения в интернете: конверсия, предельная стоимость привлечения "&amp;"одного клиента. ROI
- Инструменты оценки эффективности: Яндекс Метрика, Яндекс Вебмастер, Google Analytics, дополнительные инструменты анализа")</f>
        <v>- Сегментирование целевой аудитории для целей продвижения в интернете
- Современные подходы. Маркетинговые исследования в сети
- Определение спроса на продаваемые товары и/или услуги
- Система интернет-маркетинговых инструментов: веб-аналитика, веб-сайт, поисковое продвижение, реклама в интернете, работа с социальными медиа
- Этапы разработки стратегии продвижения в интернете. Составление бизнес-плана
- Основные показатели эффективности продвижения в интернете: конверсия, предельная стоимость привлечения одного клиента. ROI
- Инструменты оценки эффективности: Яндекс Метрика, Яндекс Вебмастер, Google Analytics, дополнительные инструменты анализа</v>
      </c>
    </row>
    <row r="1054" spans="1:4" ht="25.5" x14ac:dyDescent="0.2">
      <c r="A1054" s="1"/>
      <c r="B1054" s="4" t="str">
        <f ca="1">IFERROR(__xludf.DUMMYFUNCTION("""COMPUTED_VALUE"""),"Модуль")</f>
        <v>Модуль</v>
      </c>
      <c r="C1054" s="4" t="str">
        <f ca="1">IFERROR(__xludf.DUMMYFUNCTION("""COMPUTED_VALUE"""),"Разработка/формализация стратегии развития бизнеса")</f>
        <v>Разработка/формализация стратегии развития бизнеса</v>
      </c>
      <c r="D1054" s="1" t="str">
        <f ca="1">IFERROR(__xludf.DUMMYFUNCTION("""COMPUTED_VALUE"""),"- Ключевые принципы стратегического управления
- Выделение стратегических бизнес-единиц (СБЕ)
- Определение приоритетных рынков и клиентов на ближайшую перспективу
- Технология анализа рынков стратегических бизнес-единиц
- Актуализация стратегических целе"&amp;"й в четырех перспективах (финансы, клиенты, внутренние процессы, персонал/инфраструктура)
- Разработка плана стратегических мероприятий по достижению поставленных целей на основе предложенных показателей
- Взаимосвязь стратегического и оперативного контур"&amp;"ов управления")</f>
        <v>- Ключевые принципы стратегического управления
- Выделение стратегических бизнес-единиц (СБЕ)
- Определение приоритетных рынков и клиентов на ближайшую перспективу
- Технология анализа рынков стратегических бизнес-единиц
- Актуализация стратегических целей в четырех перспективах (финансы, клиенты, внутренние процессы, персонал/инфраструктура)
- Разработка плана стратегических мероприятий по достижению поставленных целей на основе предложенных показателей
- Взаимосвязь стратегического и оперативного контуров управления</v>
      </c>
    </row>
    <row r="1055" spans="1:4" ht="51" x14ac:dyDescent="0.2">
      <c r="A1055" s="1"/>
      <c r="B1055" s="4" t="str">
        <f ca="1">IFERROR(__xludf.DUMMYFUNCTION("""COMPUTED_VALUE"""),"Модуль")</f>
        <v>Модуль</v>
      </c>
      <c r="C1055" s="4" t="str">
        <f ca="1">IFERROR(__xludf.DUMMYFUNCTION("""COMPUTED_VALUE"""),"Возможности роста и развития. Выбор модели масштабирования: филиалы, дилеры и дистрибуция, франчайзинг")</f>
        <v>Возможности роста и развития. Выбор модели масштабирования: филиалы, дилеры и дистрибуция, франчайзинг</v>
      </c>
      <c r="D1055" s="1" t="str">
        <f ca="1">IFERROR(__xludf.DUMMYFUNCTION("""COMPUTED_VALUE"""),"- Принципы выбора модели роста и развития
- Плюсы и минусы модели масштабирования: филиалы, диллеры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"&amp;"бизнеса
- Принципы построения сети при масштабировании. Рычаги управления сетью")</f>
        <v>- Принципы выбора модели роста и развития
- Плюсы и минусы модели масштабирования: филиалы, диллеры и дистрибьюция, франчайзинг, развитие действующего бизнеса
- Критические ошибки масштабирования
- Экспресс-метод подбора модели масштабирования для вашего бизнеса
- Принципы построения сети при масштабировании. Рычаги управления сетью</v>
      </c>
    </row>
    <row r="1056" spans="1:4" ht="38.25" x14ac:dyDescent="0.2">
      <c r="A1056" s="1"/>
      <c r="B1056" s="4" t="str">
        <f ca="1">IFERROR(__xludf.DUMMYFUNCTION("""COMPUTED_VALUE"""),"Модуль")</f>
        <v>Модуль</v>
      </c>
      <c r="C1056" s="4" t="str">
        <f ca="1">IFERROR(__xludf.DUMMYFUNCTION("""COMPUTED_VALUE"""),"Как создать сильный бренд компании (Конструктор брендов: 5 слоев упаковки бизнеса)")</f>
        <v>Как создать сильный бренд компании (Конструктор брендов: 5 слоев упаковки бизнеса)</v>
      </c>
      <c r="D1056" s="1" t="str">
        <f ca="1">IFERROR(__xludf.DUMMYFUNCTION("""COMPUTED_VALUE"""),"- Можно ли жить без бренда в современном мире и почему все бизнесы стремятся стать брендом 
- Специфика брендинга малого бизнеса
- Составляющие сильного бренда. Что делает бренд сильным?
- Структура бренда: название, логотип, слоган, персонаж, фирменный с"&amp;"тиль, бренд-бук 
- Разработка бренда. Как создать бренд для собственного бизнеса? С чего начать?
- Ошибки брендинга или чего делать нельзя?")</f>
        <v>- Можно ли жить без бренда в современном мире и почему все бизнесы стремятся стать брендом 
- Специфика брендинга малого бизнеса
- Составляющие сильного бренда. Что делает бренд сильным?
- Структура бренда: название, логотип, слоган, персонаж, фирменный стиль, бренд-бук 
- Разработка бренда. Как создать бренд для собственного бизнеса? С чего начать?
- Ошибки брендинга или чего делать нельзя?</v>
      </c>
    </row>
    <row r="1057" spans="1:4" ht="25.5" x14ac:dyDescent="0.2">
      <c r="A1057" s="1"/>
      <c r="B1057" s="4" t="str">
        <f ca="1">IFERROR(__xludf.DUMMYFUNCTION("""COMPUTED_VALUE"""),"Модуль")</f>
        <v>Модуль</v>
      </c>
      <c r="C1057" s="4" t="str">
        <f ca="1">IFERROR(__xludf.DUMMYFUNCTION("""COMPUTED_VALUE"""),"Создание маркетинг-кита и коммерческого предложения")</f>
        <v>Создание маркетинг-кита и коммерческого предложения</v>
      </c>
      <c r="D1057" s="1" t="str">
        <f ca="1">IFERROR(__xludf.DUMMYFUNCTION("""COMPUTED_VALUE"""),"- Как должно выглядеть идеальное КП
- Что такое маркетинг-кит
- Зачем нужен маркетинг-кит
- Как правильно рассказать о своей компании
- Материалы: тексты, презентация, полиграфия. Инструменты создания
- Упаковка продукта: внешний вид продукта, визуальное "&amp;"сопровождение оказание услуги
- Что такое презентация в стиле Evevator Pitch")</f>
        <v>- Как должно выглядеть идеальное КП
- Что такое маркетинг-кит
- Зачем нужен маркетинг-кит
- Как правильно рассказать о своей компании
- Материалы: тексты, презентация, полиграфия. Инструменты создания
- Упаковка продукта: внешний вид продукта, визуальное сопровождение оказание услуги
- Что такое презентация в стиле Evevator Pitch</v>
      </c>
    </row>
    <row r="1058" spans="1:4" ht="51" x14ac:dyDescent="0.2">
      <c r="A1058" s="1"/>
      <c r="B1058" s="4" t="str">
        <f ca="1">IFERROR(__xludf.DUMMYFUNCTION("""COMPUTED_VALUE"""),"Модуль")</f>
        <v>Модуль</v>
      </c>
      <c r="C1058" s="4" t="str">
        <f ca="1">IFERROR(__xludf.DUMMYFUNCTION("""COMPUTED_VALUE"""),"Управление финансовыми потоками для руководителя. Как управлять бизнесом на основе цифр")</f>
        <v>Управление финансовыми потоками для руководителя. Как управлять бизнесом на основе цифр</v>
      </c>
      <c r="D1058" s="1" t="str">
        <f ca="1">IFERROR(__xludf.DUMMYFUNCTION("""COMPUTED_VALUE"""),"- 5 типовых ошибок предпринимателей в финансах бизнеса
- 3 главный отчета предпринимателя на основании которых надо управлять компанией
- Ответим на вопрос сколько можно брать из бизнеса без ущерба для компании")</f>
        <v>- 5 типовых ошибок предпринимателей в финансах бизнеса
- 3 главный отчета предпринимателя на основании которых надо управлять компанией
- Ответим на вопрос сколько можно брать из бизнеса без ущерба для компании</v>
      </c>
    </row>
    <row r="1059" spans="1:4" ht="25.5" x14ac:dyDescent="0.2">
      <c r="A1059" s="1"/>
      <c r="B1059" s="4"/>
      <c r="C1059" s="4" t="str">
        <f ca="1">IFERROR(__xludf.DUMMYFUNCTION("""COMPUTED_VALUE"""),"Важные показатели, влияющих на финансовый результат")</f>
        <v>Важные показатели, влияющих на финансовый результат</v>
      </c>
      <c r="D1059" s="1"/>
    </row>
    <row r="1060" spans="1:4" ht="38.25" x14ac:dyDescent="0.2">
      <c r="A1060" s="1"/>
      <c r="B1060" s="4"/>
      <c r="C1060" s="4" t="str">
        <f ca="1">IFERROR(__xludf.DUMMYFUNCTION("""COMPUTED_VALUE"""),"7 критичных ошибок МСБ при получении государственной поддержки")</f>
        <v>7 критичных ошибок МСБ при получении государственной поддержки</v>
      </c>
      <c r="D1060" s="1" t="str">
        <f ca="1">IFERROR(__xludf.DUMMYFUNCTION("""COMPUTED_VALUE"""),"- Существующие виды государственной поддержки
- Приоритетные направления поддержки и особенности при их получении 
- Как определить соответствие установленным критериям? 
- 7 ключевых ошибок при обращении за господдержкой
- Разработка пошагового алгоритма"&amp;" действий для получения господдержки 
- Требования к документам, предоставляемым в госструктуры 
- Нюансы, которые стоит знать при получении субсидий
- Целевое расходование и проверки, что нужно знать каждому")</f>
        <v>- Существующие виды государственной поддержки
- Приоритетные направления поддержки и особенности при их получении 
- Как определить соответствие установленным критериям? 
- 7 ключевых ошибок при обращении за господдержкой
- Разработка пошагового алгоритма действий для получения господдержки 
- Требования к документам, предоставляемым в госструктуры 
- Нюансы, которые стоит знать при получении субсидий
- Целевое расходование и проверки, что нужно знать каждому</v>
      </c>
    </row>
    <row r="1061" spans="1:4" ht="51" x14ac:dyDescent="0.2">
      <c r="A1061" s="1"/>
      <c r="B1061" s="4"/>
      <c r="C1061" s="4" t="str">
        <f ca="1">IFERROR(__xludf.DUMMYFUNCTION("""COMPUTED_VALUE"""),"Управление Чистой Прибылью бизнеса. Финансовая отчетность, как основа принятия управленческих решений")</f>
        <v>Управление Чистой Прибылью бизнеса. Финансовая отчетность, как основа принятия управленческих решений</v>
      </c>
      <c r="D1061" s="1" t="str">
        <f ca="1">IFERROR(__xludf.DUMMYFUNCTION("""COMPUTED_VALUE"""),"- Кейс из практики, как пример системы решений по увеличению Чистой прибыли в бизнес
- Система финансовых отчетов
- Работа с Бюджетом (отчетом) доходов и расходов. Лайфхаки для роста Чистой прибыли.
- Работа с Управленческим балансом
- Юнит-экономика, как"&amp;" её быстро посчитать и зачем она нужна
- Система показателей для контроля бизнеса на постоянной основе")</f>
        <v>- Кейс из практики, как пример системы решений по увеличению Чистой прибыли в бизнес
- Система финансовых отчетов
- Работа с Бюджетом (отчетом) доходов и расходов. Лайфхаки для роста Чистой прибыли.
- Работа с Управленческим балансом
- Юнит-экономика, как её быстро посчитать и зачем она нужна
- Система показателей для контроля бизнеса на постоянной основе</v>
      </c>
    </row>
    <row r="1062" spans="1:4" ht="12.75" x14ac:dyDescent="0.2">
      <c r="A1062" s="1"/>
      <c r="B1062" s="4"/>
      <c r="C1062" s="4"/>
      <c r="D1062" s="1"/>
    </row>
    <row r="1063" spans="1:4" ht="12.75" x14ac:dyDescent="0.2">
      <c r="A1063" s="1"/>
      <c r="B1063" s="4"/>
      <c r="C1063" s="4"/>
      <c r="D1063" s="1"/>
    </row>
    <row r="1064" spans="1:4" ht="12.75" x14ac:dyDescent="0.2">
      <c r="A1064" s="1"/>
      <c r="B1064" s="4"/>
      <c r="C1064" s="4"/>
      <c r="D1064" s="1"/>
    </row>
    <row r="1065" spans="1:4" ht="12.75" x14ac:dyDescent="0.2">
      <c r="A1065" s="1"/>
      <c r="B1065" s="4"/>
      <c r="C1065" s="4"/>
      <c r="D1065" s="1"/>
    </row>
    <row r="1066" spans="1:4" ht="12.75" x14ac:dyDescent="0.2">
      <c r="A1066" s="1"/>
      <c r="B1066" s="4"/>
      <c r="C1066" s="4"/>
      <c r="D1066" s="1"/>
    </row>
    <row r="1067" spans="1:4" ht="12.75" x14ac:dyDescent="0.2">
      <c r="A1067" s="1"/>
      <c r="B1067" s="4"/>
      <c r="C1067" s="4"/>
      <c r="D1067" s="1"/>
    </row>
    <row r="1068" spans="1:4" ht="12.75" x14ac:dyDescent="0.2">
      <c r="A1068" s="1"/>
      <c r="B1068" s="4"/>
      <c r="C1068" s="4"/>
      <c r="D1068" s="1"/>
    </row>
    <row r="1069" spans="1:4" ht="12.75" x14ac:dyDescent="0.2">
      <c r="A1069" s="1"/>
      <c r="B1069" s="4"/>
      <c r="C1069" s="4"/>
      <c r="D1069" s="1"/>
    </row>
    <row r="1070" spans="1:4" ht="12.75" x14ac:dyDescent="0.2">
      <c r="A1070" s="1"/>
      <c r="B1070" s="4"/>
      <c r="C1070" s="4"/>
      <c r="D1070" s="1"/>
    </row>
    <row r="1071" spans="1:4" ht="12.75" x14ac:dyDescent="0.2">
      <c r="A1071" s="1"/>
      <c r="B1071" s="4"/>
      <c r="C1071" s="4"/>
      <c r="D1071" s="1"/>
    </row>
    <row r="1072" spans="1:4" ht="12.75" x14ac:dyDescent="0.2">
      <c r="A1072" s="1"/>
      <c r="B1072" s="4"/>
      <c r="C1072" s="4"/>
      <c r="D1072" s="1"/>
    </row>
    <row r="1073" spans="1:4" ht="12.75" x14ac:dyDescent="0.2">
      <c r="A1073" s="1"/>
      <c r="B1073" s="4"/>
      <c r="C1073" s="4"/>
      <c r="D1073" s="1"/>
    </row>
    <row r="1074" spans="1:4" ht="12.75" x14ac:dyDescent="0.2">
      <c r="A1074" s="1"/>
      <c r="B1074" s="4"/>
      <c r="C1074" s="4"/>
      <c r="D1074" s="1"/>
    </row>
    <row r="1075" spans="1:4" ht="12.75" x14ac:dyDescent="0.2">
      <c r="A1075" s="1"/>
      <c r="B1075" s="4"/>
      <c r="C1075" s="4"/>
      <c r="D1075" s="1"/>
    </row>
    <row r="1076" spans="1:4" ht="12.75" x14ac:dyDescent="0.2">
      <c r="A1076" s="1"/>
      <c r="B1076" s="4"/>
      <c r="C1076" s="4"/>
      <c r="D1076" s="1"/>
    </row>
    <row r="1077" spans="1:4" ht="12.75" x14ac:dyDescent="0.2">
      <c r="A1077" s="1"/>
      <c r="B1077" s="4"/>
      <c r="C1077" s="4"/>
      <c r="D1077" s="1"/>
    </row>
    <row r="1078" spans="1:4" ht="12.75" x14ac:dyDescent="0.2">
      <c r="A1078" s="1"/>
      <c r="B1078" s="4"/>
      <c r="C1078" s="4"/>
      <c r="D1078" s="1"/>
    </row>
    <row r="1079" spans="1:4" ht="12.75" x14ac:dyDescent="0.2">
      <c r="A1079" s="1"/>
      <c r="B1079" s="4"/>
      <c r="C1079" s="4"/>
      <c r="D1079" s="1"/>
    </row>
    <row r="1080" spans="1:4" ht="12.75" x14ac:dyDescent="0.2">
      <c r="A1080" s="1"/>
      <c r="B1080" s="4"/>
      <c r="C1080" s="4"/>
      <c r="D1080" s="1"/>
    </row>
    <row r="1081" spans="1:4" ht="12.75" x14ac:dyDescent="0.2">
      <c r="A1081" s="1"/>
      <c r="B1081" s="4"/>
      <c r="C1081" s="4"/>
      <c r="D1081" s="1"/>
    </row>
    <row r="1082" spans="1:4" ht="12.75" x14ac:dyDescent="0.2">
      <c r="A1082" s="1"/>
      <c r="B1082" s="4"/>
      <c r="C1082" s="4"/>
      <c r="D1082" s="1"/>
    </row>
    <row r="1083" spans="1:4" ht="12.75" x14ac:dyDescent="0.2">
      <c r="A1083" s="1"/>
      <c r="B1083" s="4"/>
      <c r="C1083" s="4"/>
      <c r="D1083" s="1"/>
    </row>
    <row r="1084" spans="1:4" ht="12.75" x14ac:dyDescent="0.2">
      <c r="A1084" s="1"/>
      <c r="B1084" s="4"/>
      <c r="C1084" s="4"/>
      <c r="D1084" s="1"/>
    </row>
    <row r="1085" spans="1:4" ht="12.75" x14ac:dyDescent="0.2">
      <c r="A1085" s="1"/>
      <c r="B1085" s="4"/>
      <c r="C1085" s="4"/>
      <c r="D1085" s="1"/>
    </row>
    <row r="1086" spans="1:4" ht="12.75" x14ac:dyDescent="0.2">
      <c r="A1086" s="1"/>
      <c r="B1086" s="4"/>
      <c r="C1086" s="4"/>
      <c r="D1086" s="1"/>
    </row>
    <row r="1087" spans="1:4" ht="12.75" x14ac:dyDescent="0.2">
      <c r="A1087" s="1"/>
      <c r="B1087" s="4"/>
      <c r="C1087" s="4"/>
      <c r="D1087" s="1"/>
    </row>
    <row r="1088" spans="1:4" ht="12.75" x14ac:dyDescent="0.2">
      <c r="A1088" s="1"/>
      <c r="B1088" s="4"/>
      <c r="C1088" s="4"/>
      <c r="D1088" s="1"/>
    </row>
    <row r="1089" spans="1:4" ht="12.75" x14ac:dyDescent="0.2">
      <c r="A1089" s="1"/>
      <c r="B1089" s="4"/>
      <c r="C1089" s="4"/>
      <c r="D1089" s="1"/>
    </row>
    <row r="1090" spans="1:4" ht="12.75" x14ac:dyDescent="0.2">
      <c r="A1090" s="1"/>
      <c r="B1090" s="4"/>
      <c r="C1090" s="4"/>
      <c r="D1090" s="1"/>
    </row>
    <row r="1091" spans="1:4" ht="12.75" x14ac:dyDescent="0.2">
      <c r="A1091" s="1"/>
      <c r="B1091" s="4"/>
      <c r="C1091" s="4"/>
      <c r="D1091" s="1"/>
    </row>
    <row r="1092" spans="1:4" ht="12.75" x14ac:dyDescent="0.2">
      <c r="A1092" s="1"/>
      <c r="B1092" s="4"/>
      <c r="C1092" s="4"/>
      <c r="D1092" s="1"/>
    </row>
    <row r="1093" spans="1:4" ht="12.75" x14ac:dyDescent="0.2">
      <c r="A1093" s="1"/>
      <c r="B1093" s="4"/>
      <c r="C1093" s="4"/>
      <c r="D1093" s="1"/>
    </row>
    <row r="1094" spans="1:4" ht="12.75" x14ac:dyDescent="0.2">
      <c r="A1094" s="1"/>
      <c r="B1094" s="4"/>
      <c r="C1094" s="4"/>
      <c r="D1094" s="1"/>
    </row>
    <row r="1095" spans="1:4" ht="12.75" x14ac:dyDescent="0.2">
      <c r="A1095" s="1"/>
      <c r="B1095" s="4"/>
      <c r="C1095" s="4"/>
      <c r="D1095" s="1"/>
    </row>
    <row r="1096" spans="1:4" ht="12.75" x14ac:dyDescent="0.2">
      <c r="A1096" s="1"/>
      <c r="B1096" s="4"/>
      <c r="C1096" s="4"/>
      <c r="D1096" s="1"/>
    </row>
    <row r="1097" spans="1:4" ht="12.75" x14ac:dyDescent="0.2">
      <c r="A1097" s="1"/>
      <c r="B1097" s="4"/>
      <c r="C1097" s="4"/>
      <c r="D1097" s="1"/>
    </row>
    <row r="1098" spans="1:4" ht="12.75" x14ac:dyDescent="0.2">
      <c r="A1098" s="1"/>
      <c r="B1098" s="4"/>
      <c r="C1098" s="4"/>
      <c r="D1098" s="1"/>
    </row>
    <row r="1099" spans="1:4" ht="12.75" x14ac:dyDescent="0.2">
      <c r="A1099" s="1"/>
      <c r="B1099" s="4"/>
      <c r="C1099" s="4"/>
      <c r="D1099" s="1"/>
    </row>
    <row r="1100" spans="1:4" ht="12.75" x14ac:dyDescent="0.2">
      <c r="A1100" s="1"/>
      <c r="B1100" s="4"/>
      <c r="C1100" s="4"/>
      <c r="D1100" s="1"/>
    </row>
    <row r="1101" spans="1:4" ht="12.75" x14ac:dyDescent="0.2">
      <c r="A1101" s="1"/>
      <c r="B1101" s="4"/>
      <c r="C1101" s="4"/>
      <c r="D1101" s="1"/>
    </row>
    <row r="1102" spans="1:4" ht="12.75" x14ac:dyDescent="0.2">
      <c r="A1102" s="1"/>
      <c r="B1102" s="4"/>
      <c r="C1102" s="4"/>
      <c r="D1102" s="1"/>
    </row>
    <row r="1103" spans="1:4" ht="12.75" x14ac:dyDescent="0.2">
      <c r="A1103" s="1"/>
      <c r="B1103" s="4"/>
      <c r="C1103" s="4"/>
      <c r="D1103" s="1"/>
    </row>
    <row r="1104" spans="1:4" ht="12.75" x14ac:dyDescent="0.2">
      <c r="A1104" s="1"/>
      <c r="B1104" s="4"/>
      <c r="C1104" s="4"/>
      <c r="D1104" s="1"/>
    </row>
    <row r="1105" spans="1:4" ht="12.75" x14ac:dyDescent="0.2">
      <c r="A1105" s="1"/>
      <c r="B1105" s="4"/>
      <c r="C1105" s="4"/>
      <c r="D1105" s="1"/>
    </row>
    <row r="1106" spans="1:4" ht="12.75" x14ac:dyDescent="0.2">
      <c r="A1106" s="1"/>
      <c r="B1106" s="4"/>
      <c r="C1106" s="4"/>
      <c r="D1106" s="1"/>
    </row>
    <row r="1107" spans="1:4" ht="12.75" x14ac:dyDescent="0.2">
      <c r="A1107" s="1"/>
      <c r="B1107" s="4"/>
      <c r="C1107" s="4"/>
      <c r="D1107" s="1"/>
    </row>
    <row r="1108" spans="1:4" ht="12.75" x14ac:dyDescent="0.2">
      <c r="A1108" s="1"/>
      <c r="B1108" s="4"/>
      <c r="C1108" s="4"/>
      <c r="D1108" s="1"/>
    </row>
    <row r="1109" spans="1:4" ht="12.75" x14ac:dyDescent="0.2">
      <c r="A1109" s="1"/>
      <c r="B1109" s="4"/>
      <c r="C1109" s="4"/>
      <c r="D1109" s="1"/>
    </row>
    <row r="1110" spans="1:4" ht="12.75" x14ac:dyDescent="0.2">
      <c r="A1110" s="1"/>
      <c r="B1110" s="4"/>
      <c r="C1110" s="4"/>
      <c r="D1110" s="1"/>
    </row>
    <row r="1111" spans="1:4" ht="12.75" x14ac:dyDescent="0.2">
      <c r="A1111" s="1"/>
      <c r="B1111" s="4"/>
      <c r="C1111" s="4"/>
      <c r="D1111" s="1"/>
    </row>
    <row r="1112" spans="1:4" ht="12.75" x14ac:dyDescent="0.2">
      <c r="A1112" s="1"/>
      <c r="B1112" s="4"/>
      <c r="C1112" s="4"/>
      <c r="D1112" s="1"/>
    </row>
    <row r="1113" spans="1:4" ht="12.75" x14ac:dyDescent="0.2">
      <c r="A1113" s="1"/>
      <c r="B1113" s="4"/>
      <c r="C1113" s="4"/>
      <c r="D1113" s="1"/>
    </row>
    <row r="1114" spans="1:4" ht="12.75" x14ac:dyDescent="0.2">
      <c r="A1114" s="1"/>
      <c r="B1114" s="4"/>
      <c r="C1114" s="4"/>
      <c r="D1114" s="1"/>
    </row>
    <row r="1115" spans="1:4" ht="12.75" x14ac:dyDescent="0.2">
      <c r="A1115" s="1"/>
      <c r="B1115" s="4"/>
      <c r="C1115" s="4"/>
      <c r="D1115" s="1"/>
    </row>
    <row r="1116" spans="1:4" ht="12.75" x14ac:dyDescent="0.2">
      <c r="A1116" s="1"/>
      <c r="B1116" s="4"/>
      <c r="C1116" s="4"/>
      <c r="D1116" s="1"/>
    </row>
    <row r="1117" spans="1:4" ht="12.75" x14ac:dyDescent="0.2">
      <c r="A1117" s="1"/>
      <c r="B1117" s="4"/>
      <c r="C1117" s="4"/>
      <c r="D1117" s="1"/>
    </row>
    <row r="1118" spans="1:4" ht="12.75" x14ac:dyDescent="0.2">
      <c r="A1118" s="1"/>
      <c r="B1118" s="4"/>
      <c r="C1118" s="4"/>
      <c r="D1118" s="1"/>
    </row>
    <row r="1119" spans="1:4" ht="12.75" x14ac:dyDescent="0.2">
      <c r="A1119" s="1"/>
      <c r="B1119" s="4"/>
      <c r="C1119" s="4"/>
      <c r="D1119" s="1"/>
    </row>
    <row r="1120" spans="1:4" ht="12.75" x14ac:dyDescent="0.2">
      <c r="A1120" s="1"/>
      <c r="B1120" s="4"/>
      <c r="C1120" s="4"/>
      <c r="D1120" s="1"/>
    </row>
    <row r="1121" spans="1:4" ht="12.75" x14ac:dyDescent="0.2">
      <c r="A1121" s="1"/>
      <c r="B1121" s="4"/>
      <c r="C1121" s="4"/>
      <c r="D1121" s="1"/>
    </row>
    <row r="1122" spans="1:4" ht="12.75" x14ac:dyDescent="0.2">
      <c r="A1122" s="1"/>
      <c r="B1122" s="4"/>
      <c r="C1122" s="4"/>
      <c r="D1122" s="1"/>
    </row>
    <row r="1123" spans="1:4" ht="12.75" x14ac:dyDescent="0.2">
      <c r="A1123" s="1"/>
      <c r="B1123" s="4"/>
      <c r="C1123" s="4"/>
      <c r="D1123" s="1"/>
    </row>
    <row r="1124" spans="1:4" ht="12.75" x14ac:dyDescent="0.2">
      <c r="A1124" s="1"/>
      <c r="B1124" s="4"/>
      <c r="C1124" s="4"/>
      <c r="D1124" s="1"/>
    </row>
    <row r="1125" spans="1:4" ht="12.75" x14ac:dyDescent="0.2">
      <c r="A1125" s="1"/>
      <c r="B1125" s="4"/>
      <c r="C1125" s="4"/>
      <c r="D1125" s="1"/>
    </row>
    <row r="1126" spans="1:4" ht="12.75" x14ac:dyDescent="0.2">
      <c r="A1126" s="1"/>
      <c r="B1126" s="4"/>
      <c r="C1126" s="4"/>
      <c r="D1126" s="1"/>
    </row>
    <row r="1127" spans="1:4" ht="12.75" x14ac:dyDescent="0.2">
      <c r="A1127" s="1"/>
      <c r="B1127" s="4"/>
      <c r="C1127" s="4"/>
      <c r="D1127" s="1"/>
    </row>
    <row r="1128" spans="1:4" ht="12.75" x14ac:dyDescent="0.2">
      <c r="A1128" s="1"/>
      <c r="B1128" s="4"/>
      <c r="C1128" s="4"/>
      <c r="D1128" s="1"/>
    </row>
    <row r="1129" spans="1:4" ht="12.75" x14ac:dyDescent="0.2">
      <c r="A1129" s="1"/>
      <c r="B1129" s="4"/>
      <c r="C1129" s="4"/>
      <c r="D1129" s="1"/>
    </row>
    <row r="1130" spans="1:4" ht="12.75" x14ac:dyDescent="0.2">
      <c r="A1130" s="1"/>
      <c r="B1130" s="4"/>
      <c r="C1130" s="4"/>
      <c r="D1130" s="1"/>
    </row>
    <row r="1131" spans="1:4" ht="12.75" x14ac:dyDescent="0.2">
      <c r="A1131" s="1"/>
      <c r="B1131" s="4"/>
      <c r="C1131" s="4"/>
      <c r="D1131" s="1"/>
    </row>
    <row r="1132" spans="1:4" ht="12.75" x14ac:dyDescent="0.2">
      <c r="A1132" s="1"/>
      <c r="B1132" s="4"/>
      <c r="C1132" s="4"/>
      <c r="D1132" s="1"/>
    </row>
    <row r="1133" spans="1:4" ht="12.75" x14ac:dyDescent="0.2">
      <c r="A1133" s="1"/>
      <c r="B1133" s="4"/>
      <c r="C1133" s="4"/>
      <c r="D1133" s="1"/>
    </row>
    <row r="1134" spans="1:4" ht="12.75" x14ac:dyDescent="0.2">
      <c r="A1134" s="1"/>
      <c r="B1134" s="4"/>
      <c r="C1134" s="4"/>
      <c r="D1134" s="1"/>
    </row>
    <row r="1135" spans="1:4" ht="12.75" x14ac:dyDescent="0.2">
      <c r="A1135" s="1"/>
      <c r="B1135" s="4"/>
      <c r="C1135" s="4"/>
      <c r="D1135" s="1"/>
    </row>
    <row r="1136" spans="1:4" ht="12.75" x14ac:dyDescent="0.2">
      <c r="A1136" s="1"/>
      <c r="B1136" s="4"/>
      <c r="C1136" s="4"/>
      <c r="D1136" s="1"/>
    </row>
    <row r="1137" spans="1:4" ht="12.75" x14ac:dyDescent="0.2">
      <c r="A1137" s="1"/>
      <c r="B1137" s="4"/>
      <c r="C1137" s="4"/>
      <c r="D1137" s="1"/>
    </row>
    <row r="1138" spans="1:4" ht="12.75" x14ac:dyDescent="0.2">
      <c r="A1138" s="1"/>
      <c r="B1138" s="4"/>
      <c r="C1138" s="4"/>
      <c r="D1138" s="1"/>
    </row>
    <row r="1139" spans="1:4" ht="12.75" x14ac:dyDescent="0.2">
      <c r="A1139" s="1"/>
      <c r="B1139" s="4"/>
      <c r="C1139" s="4"/>
      <c r="D1139" s="1"/>
    </row>
    <row r="1140" spans="1:4" ht="12.75" x14ac:dyDescent="0.2">
      <c r="A1140" s="1"/>
      <c r="B1140" s="4"/>
      <c r="C1140" s="4"/>
      <c r="D1140" s="1"/>
    </row>
    <row r="1141" spans="1:4" ht="12.75" x14ac:dyDescent="0.2">
      <c r="A1141" s="1"/>
      <c r="B1141" s="4"/>
      <c r="C1141" s="4"/>
      <c r="D1141" s="1"/>
    </row>
    <row r="1142" spans="1:4" ht="12.75" x14ac:dyDescent="0.2">
      <c r="A1142" s="1"/>
      <c r="B1142" s="4"/>
      <c r="C1142" s="4"/>
      <c r="D1142" s="1"/>
    </row>
    <row r="1143" spans="1:4" ht="12.75" x14ac:dyDescent="0.2">
      <c r="A1143" s="1"/>
      <c r="B1143" s="4"/>
      <c r="C1143" s="4"/>
      <c r="D1143" s="1"/>
    </row>
    <row r="1144" spans="1:4" ht="12.75" x14ac:dyDescent="0.2">
      <c r="A1144" s="1"/>
      <c r="B1144" s="4"/>
      <c r="C1144" s="4"/>
      <c r="D1144" s="1"/>
    </row>
    <row r="1145" spans="1:4" ht="12.75" x14ac:dyDescent="0.2">
      <c r="A1145" s="1"/>
      <c r="B1145" s="4"/>
      <c r="C1145" s="4"/>
      <c r="D1145" s="1"/>
    </row>
    <row r="1146" spans="1:4" ht="12.75" x14ac:dyDescent="0.2">
      <c r="A1146" s="1"/>
      <c r="B1146" s="4"/>
      <c r="C1146" s="4"/>
      <c r="D1146" s="1"/>
    </row>
    <row r="1147" spans="1:4" ht="12.75" x14ac:dyDescent="0.2">
      <c r="A1147" s="1"/>
      <c r="B1147" s="4"/>
      <c r="C1147" s="4"/>
      <c r="D1147" s="1"/>
    </row>
    <row r="1148" spans="1:4" ht="12.75" x14ac:dyDescent="0.2">
      <c r="A1148" s="1"/>
      <c r="B1148" s="4"/>
      <c r="C1148" s="4"/>
      <c r="D1148" s="1"/>
    </row>
    <row r="1149" spans="1:4" ht="12.75" x14ac:dyDescent="0.2">
      <c r="A1149" s="1"/>
      <c r="B1149" s="4"/>
      <c r="C1149" s="4"/>
      <c r="D1149" s="1"/>
    </row>
    <row r="1150" spans="1:4" ht="12.75" x14ac:dyDescent="0.2">
      <c r="A1150" s="1"/>
      <c r="B1150" s="4"/>
      <c r="C1150" s="4"/>
      <c r="D1150" s="1"/>
    </row>
    <row r="1151" spans="1:4" ht="12.75" x14ac:dyDescent="0.2">
      <c r="A1151" s="1"/>
      <c r="B1151" s="4"/>
      <c r="C1151" s="4"/>
      <c r="D1151" s="1"/>
    </row>
    <row r="1152" spans="1:4" ht="12.75" x14ac:dyDescent="0.2">
      <c r="A1152" s="1"/>
      <c r="B1152" s="4"/>
      <c r="C1152" s="4"/>
      <c r="D1152" s="1"/>
    </row>
    <row r="1153" spans="1:4" ht="12.75" x14ac:dyDescent="0.2">
      <c r="A1153" s="1"/>
      <c r="B1153" s="4"/>
      <c r="C1153" s="4"/>
      <c r="D1153" s="1"/>
    </row>
    <row r="1154" spans="1:4" ht="12.75" x14ac:dyDescent="0.2">
      <c r="A1154" s="1"/>
      <c r="B1154" s="4"/>
      <c r="C1154" s="4"/>
      <c r="D1154" s="1"/>
    </row>
    <row r="1155" spans="1:4" ht="12.75" x14ac:dyDescent="0.2">
      <c r="A1155" s="1"/>
      <c r="B1155" s="4"/>
      <c r="C1155" s="4"/>
      <c r="D1155" s="1"/>
    </row>
    <row r="1156" spans="1:4" ht="12.75" x14ac:dyDescent="0.2">
      <c r="A1156" s="1"/>
      <c r="B1156" s="4"/>
      <c r="C1156" s="4"/>
      <c r="D1156" s="1"/>
    </row>
    <row r="1157" spans="1:4" ht="12.75" x14ac:dyDescent="0.2">
      <c r="A1157" s="1"/>
      <c r="B1157" s="4"/>
      <c r="C1157" s="4"/>
      <c r="D1157" s="1"/>
    </row>
    <row r="1158" spans="1:4" ht="12.75" x14ac:dyDescent="0.2">
      <c r="A1158" s="1"/>
      <c r="B1158" s="4"/>
      <c r="C1158" s="4"/>
      <c r="D1158" s="1"/>
    </row>
    <row r="1159" spans="1:4" ht="12.75" x14ac:dyDescent="0.2">
      <c r="A1159" s="1"/>
      <c r="B1159" s="4"/>
      <c r="C1159" s="4"/>
      <c r="D1159" s="1"/>
    </row>
    <row r="1160" spans="1:4" ht="12.75" x14ac:dyDescent="0.2">
      <c r="A1160" s="1"/>
      <c r="B1160" s="4"/>
      <c r="C1160" s="4"/>
      <c r="D1160" s="1"/>
    </row>
    <row r="1161" spans="1:4" ht="12.75" x14ac:dyDescent="0.2">
      <c r="A1161" s="1"/>
      <c r="B1161" s="4"/>
      <c r="C1161" s="4"/>
      <c r="D1161" s="1"/>
    </row>
    <row r="1162" spans="1:4" ht="12.75" x14ac:dyDescent="0.2">
      <c r="A1162" s="1"/>
      <c r="B1162" s="4"/>
      <c r="C1162" s="4"/>
      <c r="D1162" s="1"/>
    </row>
    <row r="1163" spans="1:4" ht="12.75" x14ac:dyDescent="0.2">
      <c r="A1163" s="1"/>
      <c r="B1163" s="4"/>
      <c r="C1163" s="4"/>
      <c r="D1163" s="1"/>
    </row>
    <row r="1164" spans="1:4" ht="12.75" x14ac:dyDescent="0.2">
      <c r="A1164" s="1"/>
      <c r="B1164" s="4"/>
      <c r="C1164" s="4"/>
      <c r="D1164" s="1"/>
    </row>
    <row r="1165" spans="1:4" ht="12.75" x14ac:dyDescent="0.2">
      <c r="A1165" s="1"/>
      <c r="B1165" s="4"/>
      <c r="C1165" s="4"/>
      <c r="D1165" s="1"/>
    </row>
    <row r="1166" spans="1:4" ht="12.75" x14ac:dyDescent="0.2">
      <c r="A1166" s="1"/>
      <c r="B1166" s="4"/>
      <c r="C1166" s="4"/>
      <c r="D1166" s="1"/>
    </row>
    <row r="1167" spans="1:4" ht="12.75" x14ac:dyDescent="0.2">
      <c r="A1167" s="1"/>
      <c r="B1167" s="4"/>
      <c r="C1167" s="4"/>
      <c r="D1167" s="1"/>
    </row>
    <row r="1168" spans="1:4" ht="12.75" x14ac:dyDescent="0.2">
      <c r="A1168" s="1"/>
      <c r="B1168" s="4"/>
      <c r="C1168" s="4"/>
      <c r="D1168" s="1"/>
    </row>
    <row r="1169" spans="1:4" ht="12.75" x14ac:dyDescent="0.2">
      <c r="A1169" s="1"/>
      <c r="B1169" s="4"/>
      <c r="C1169" s="4"/>
      <c r="D1169" s="1"/>
    </row>
    <row r="1170" spans="1:4" ht="12.75" x14ac:dyDescent="0.2">
      <c r="A1170" s="1"/>
      <c r="B1170" s="4"/>
      <c r="C1170" s="4"/>
      <c r="D1170" s="1"/>
    </row>
    <row r="1171" spans="1:4" ht="12.75" x14ac:dyDescent="0.2">
      <c r="A1171" s="1"/>
      <c r="B1171" s="4"/>
      <c r="C1171" s="4"/>
      <c r="D1171" s="1"/>
    </row>
    <row r="1172" spans="1:4" ht="12.75" x14ac:dyDescent="0.2">
      <c r="A1172" s="1"/>
      <c r="B1172" s="4"/>
      <c r="C1172" s="4"/>
      <c r="D1172" s="1"/>
    </row>
    <row r="1173" spans="1:4" ht="12.75" x14ac:dyDescent="0.2">
      <c r="A1173" s="1"/>
      <c r="B1173" s="4"/>
      <c r="C1173" s="4"/>
      <c r="D1173" s="1"/>
    </row>
    <row r="1174" spans="1:4" ht="12.75" x14ac:dyDescent="0.2">
      <c r="A1174" s="1"/>
      <c r="B1174" s="4"/>
      <c r="C1174" s="4"/>
      <c r="D1174" s="1"/>
    </row>
    <row r="1175" spans="1:4" ht="12.75" x14ac:dyDescent="0.2">
      <c r="A1175" s="1"/>
      <c r="B1175" s="4"/>
      <c r="C1175" s="4"/>
      <c r="D1175" s="1"/>
    </row>
    <row r="1176" spans="1:4" ht="12.75" x14ac:dyDescent="0.2">
      <c r="A1176" s="1"/>
      <c r="B1176" s="4"/>
      <c r="C1176" s="4"/>
      <c r="D1176" s="1"/>
    </row>
    <row r="1177" spans="1:4" ht="12.75" x14ac:dyDescent="0.2">
      <c r="A1177" s="1"/>
      <c r="B1177" s="4"/>
      <c r="C1177" s="4"/>
      <c r="D1177" s="1"/>
    </row>
    <row r="1178" spans="1:4" ht="12.75" x14ac:dyDescent="0.2">
      <c r="A1178" s="1"/>
      <c r="B1178" s="4"/>
      <c r="C1178" s="4"/>
      <c r="D1178" s="1"/>
    </row>
    <row r="1179" spans="1:4" ht="12.75" x14ac:dyDescent="0.2">
      <c r="A1179" s="1"/>
      <c r="B1179" s="4"/>
      <c r="C1179" s="4"/>
      <c r="D1179" s="1"/>
    </row>
    <row r="1180" spans="1:4" ht="12.75" x14ac:dyDescent="0.2">
      <c r="A1180" s="1"/>
      <c r="B1180" s="4"/>
      <c r="C1180" s="4"/>
      <c r="D1180" s="1"/>
    </row>
    <row r="1181" spans="1:4" ht="12.75" x14ac:dyDescent="0.2">
      <c r="A1181" s="1"/>
      <c r="B1181" s="4"/>
      <c r="C1181" s="4"/>
      <c r="D1181" s="1"/>
    </row>
    <row r="1182" spans="1:4" ht="12.75" x14ac:dyDescent="0.2">
      <c r="A1182" s="1"/>
      <c r="B1182" s="4"/>
      <c r="C1182" s="4"/>
      <c r="D1182" s="1"/>
    </row>
    <row r="1183" spans="1:4" ht="12.75" x14ac:dyDescent="0.2">
      <c r="A1183" s="1"/>
      <c r="B1183" s="4"/>
      <c r="C1183" s="4"/>
      <c r="D1183" s="1"/>
    </row>
    <row r="1184" spans="1:4" ht="12.75" x14ac:dyDescent="0.2">
      <c r="A1184" s="1"/>
      <c r="B1184" s="4"/>
      <c r="C1184" s="4"/>
      <c r="D1184" s="1"/>
    </row>
    <row r="1185" spans="1:4" ht="12.75" x14ac:dyDescent="0.2">
      <c r="A1185" s="1"/>
      <c r="B1185" s="4"/>
      <c r="C1185" s="4"/>
      <c r="D1185" s="1"/>
    </row>
    <row r="1186" spans="1:4" ht="12.75" x14ac:dyDescent="0.2">
      <c r="A1186" s="1"/>
      <c r="B1186" s="4"/>
      <c r="C1186" s="4"/>
      <c r="D1186" s="1"/>
    </row>
    <row r="1187" spans="1:4" ht="12.75" x14ac:dyDescent="0.2">
      <c r="A1187" s="1"/>
      <c r="B1187" s="4"/>
      <c r="C1187" s="4"/>
      <c r="D1187" s="1"/>
    </row>
    <row r="1188" spans="1:4" ht="12.75" x14ac:dyDescent="0.2">
      <c r="A1188" s="1"/>
      <c r="B1188" s="4"/>
      <c r="C1188" s="4"/>
      <c r="D1188" s="1"/>
    </row>
    <row r="1189" spans="1:4" ht="12.75" x14ac:dyDescent="0.2">
      <c r="A1189" s="1"/>
      <c r="B1189" s="4"/>
      <c r="C1189" s="4"/>
      <c r="D1189" s="1"/>
    </row>
    <row r="1190" spans="1:4" ht="12.75" x14ac:dyDescent="0.2">
      <c r="A1190" s="1"/>
      <c r="B1190" s="4"/>
      <c r="C1190" s="4"/>
      <c r="D1190" s="1"/>
    </row>
    <row r="1191" spans="1:4" ht="12.75" x14ac:dyDescent="0.2">
      <c r="A1191" s="1"/>
      <c r="B1191" s="4"/>
      <c r="C1191" s="4"/>
      <c r="D1191" s="1"/>
    </row>
    <row r="1192" spans="1:4" ht="12.75" x14ac:dyDescent="0.2">
      <c r="A1192" s="1"/>
      <c r="B1192" s="4"/>
      <c r="C1192" s="4"/>
      <c r="D1192" s="1"/>
    </row>
    <row r="1193" spans="1:4" ht="12.75" x14ac:dyDescent="0.2">
      <c r="A1193" s="1"/>
      <c r="B1193" s="4"/>
      <c r="C1193" s="4"/>
      <c r="D1193" s="1"/>
    </row>
    <row r="1194" spans="1:4" ht="12.75" x14ac:dyDescent="0.2">
      <c r="A1194" s="1"/>
      <c r="B1194" s="4"/>
      <c r="C1194" s="4"/>
      <c r="D1194" s="1"/>
    </row>
    <row r="1195" spans="1:4" ht="12.75" x14ac:dyDescent="0.2">
      <c r="A1195" s="1"/>
      <c r="B1195" s="4"/>
      <c r="C1195" s="4"/>
      <c r="D1195" s="1"/>
    </row>
    <row r="1196" spans="1:4" ht="12.75" x14ac:dyDescent="0.2">
      <c r="A1196" s="1"/>
      <c r="B1196" s="4"/>
      <c r="C1196" s="4"/>
      <c r="D1196" s="1"/>
    </row>
    <row r="1197" spans="1:4" ht="12.75" x14ac:dyDescent="0.2">
      <c r="A1197" s="1"/>
      <c r="B1197" s="4"/>
      <c r="C1197" s="4"/>
      <c r="D1197" s="1"/>
    </row>
    <row r="1198" spans="1:4" ht="12.75" x14ac:dyDescent="0.2">
      <c r="A1198" s="1"/>
      <c r="B1198" s="4"/>
      <c r="C1198" s="4"/>
      <c r="D1198" s="1"/>
    </row>
    <row r="1199" spans="1:4" ht="12.75" x14ac:dyDescent="0.2">
      <c r="A1199" s="1"/>
      <c r="B1199" s="4"/>
      <c r="C1199" s="4"/>
      <c r="D1199" s="1"/>
    </row>
    <row r="1200" spans="1:4" ht="12.75" x14ac:dyDescent="0.2">
      <c r="A1200" s="1"/>
      <c r="B1200" s="4"/>
      <c r="C1200" s="4"/>
      <c r="D1200" s="1"/>
    </row>
    <row r="1201" spans="1:4" ht="12.75" x14ac:dyDescent="0.2">
      <c r="A1201" s="1"/>
      <c r="B1201" s="4"/>
      <c r="C1201" s="4"/>
      <c r="D1201" s="1"/>
    </row>
    <row r="1202" spans="1:4" ht="12.75" x14ac:dyDescent="0.2">
      <c r="A1202" s="1"/>
      <c r="B1202" s="4"/>
      <c r="C1202" s="4"/>
      <c r="D1202" s="1"/>
    </row>
    <row r="1203" spans="1:4" ht="12.75" x14ac:dyDescent="0.2">
      <c r="A1203" s="1"/>
      <c r="B1203" s="4"/>
      <c r="C1203" s="4"/>
      <c r="D1203" s="1"/>
    </row>
    <row r="1204" spans="1:4" ht="12.75" x14ac:dyDescent="0.2">
      <c r="A1204" s="1"/>
      <c r="B1204" s="4"/>
      <c r="C1204" s="4"/>
      <c r="D1204" s="1"/>
    </row>
    <row r="1205" spans="1:4" ht="12.75" x14ac:dyDescent="0.2">
      <c r="A1205" s="1"/>
      <c r="B1205" s="4"/>
      <c r="C1205" s="4"/>
      <c r="D1205" s="1"/>
    </row>
    <row r="1206" spans="1:4" ht="12.75" x14ac:dyDescent="0.2">
      <c r="A1206" s="1"/>
      <c r="B1206" s="4"/>
      <c r="C1206" s="4"/>
      <c r="D1206" s="1"/>
    </row>
    <row r="1207" spans="1:4" ht="12.75" x14ac:dyDescent="0.2">
      <c r="A1207" s="1"/>
      <c r="B1207" s="4"/>
      <c r="C1207" s="4"/>
      <c r="D1207" s="1"/>
    </row>
    <row r="1208" spans="1:4" ht="12.75" x14ac:dyDescent="0.2">
      <c r="A1208" s="1"/>
      <c r="B1208" s="4"/>
      <c r="C1208" s="4"/>
      <c r="D1208" s="1"/>
    </row>
    <row r="1209" spans="1:4" ht="12.75" x14ac:dyDescent="0.2">
      <c r="A1209" s="1"/>
      <c r="B1209" s="4"/>
      <c r="C1209" s="4"/>
      <c r="D1209" s="1"/>
    </row>
    <row r="1210" spans="1:4" ht="12.75" x14ac:dyDescent="0.2">
      <c r="A1210" s="1"/>
      <c r="B1210" s="4"/>
      <c r="C1210" s="4"/>
      <c r="D1210" s="1"/>
    </row>
    <row r="1211" spans="1:4" ht="12.75" x14ac:dyDescent="0.2">
      <c r="A1211" s="1"/>
      <c r="B1211" s="4"/>
      <c r="C1211" s="4"/>
      <c r="D1211" s="1"/>
    </row>
    <row r="1212" spans="1:4" ht="12.75" x14ac:dyDescent="0.2">
      <c r="A1212" s="1"/>
      <c r="B1212" s="4"/>
      <c r="C1212" s="4"/>
      <c r="D1212" s="1"/>
    </row>
    <row r="1213" spans="1:4" ht="12.75" x14ac:dyDescent="0.2">
      <c r="A1213" s="1"/>
      <c r="B1213" s="4"/>
      <c r="C1213" s="4"/>
      <c r="D1213" s="1"/>
    </row>
    <row r="1214" spans="1:4" ht="12.75" x14ac:dyDescent="0.2">
      <c r="A1214" s="1"/>
      <c r="B1214" s="4"/>
      <c r="C1214" s="4"/>
      <c r="D1214" s="1"/>
    </row>
    <row r="1215" spans="1:4" ht="12.75" x14ac:dyDescent="0.2">
      <c r="A1215" s="1"/>
      <c r="B1215" s="4"/>
      <c r="C1215" s="4"/>
      <c r="D1215" s="1"/>
    </row>
    <row r="1216" spans="1:4" ht="12.75" x14ac:dyDescent="0.2">
      <c r="A1216" s="1"/>
      <c r="B1216" s="4"/>
      <c r="C1216" s="4"/>
      <c r="D1216" s="1"/>
    </row>
    <row r="1217" spans="1:4" ht="12.75" x14ac:dyDescent="0.2">
      <c r="A1217" s="1"/>
      <c r="B1217" s="4"/>
      <c r="C1217" s="4"/>
      <c r="D1217" s="1"/>
    </row>
    <row r="1218" spans="1:4" ht="12.75" x14ac:dyDescent="0.2">
      <c r="A1218" s="1"/>
      <c r="B1218" s="4"/>
      <c r="C1218" s="4"/>
      <c r="D1218" s="1"/>
    </row>
    <row r="1219" spans="1:4" ht="12.75" x14ac:dyDescent="0.2">
      <c r="A1219" s="1"/>
      <c r="B1219" s="4"/>
      <c r="C1219" s="4"/>
      <c r="D1219" s="1"/>
    </row>
    <row r="1220" spans="1:4" ht="12.75" x14ac:dyDescent="0.2">
      <c r="A1220" s="1"/>
      <c r="B1220" s="4"/>
      <c r="C1220" s="4"/>
      <c r="D1220" s="1"/>
    </row>
    <row r="1221" spans="1:4" ht="12.75" x14ac:dyDescent="0.2">
      <c r="A1221" s="1"/>
      <c r="B1221" s="4"/>
      <c r="C1221" s="4"/>
      <c r="D1221" s="1"/>
    </row>
    <row r="1222" spans="1:4" ht="12.75" x14ac:dyDescent="0.2">
      <c r="A1222" s="1"/>
      <c r="B1222" s="4"/>
      <c r="C1222" s="4"/>
      <c r="D1222" s="1"/>
    </row>
    <row r="1223" spans="1:4" ht="12.75" x14ac:dyDescent="0.2">
      <c r="A1223" s="1"/>
      <c r="B1223" s="4"/>
      <c r="C1223" s="4"/>
      <c r="D1223" s="1"/>
    </row>
    <row r="1224" spans="1:4" ht="12.75" x14ac:dyDescent="0.2">
      <c r="A1224" s="1"/>
      <c r="B1224" s="4"/>
      <c r="C1224" s="4"/>
      <c r="D1224" s="1"/>
    </row>
    <row r="1225" spans="1:4" ht="12.75" x14ac:dyDescent="0.2">
      <c r="A1225" s="1"/>
      <c r="B1225" s="4"/>
      <c r="C1225" s="4"/>
      <c r="D1225" s="1"/>
    </row>
    <row r="1226" spans="1:4" ht="12.75" x14ac:dyDescent="0.2">
      <c r="A1226" s="1"/>
      <c r="B1226" s="4"/>
      <c r="C1226" s="4"/>
      <c r="D1226" s="1"/>
    </row>
    <row r="1227" spans="1:4" ht="12.75" x14ac:dyDescent="0.2">
      <c r="A1227" s="1"/>
      <c r="B1227" s="4"/>
      <c r="C1227" s="4"/>
      <c r="D1227" s="1"/>
    </row>
    <row r="1228" spans="1:4" ht="12.75" x14ac:dyDescent="0.2">
      <c r="A1228" s="1"/>
      <c r="B1228" s="4"/>
      <c r="C1228" s="4"/>
      <c r="D1228" s="1"/>
    </row>
    <row r="1229" spans="1:4" ht="12.75" x14ac:dyDescent="0.2">
      <c r="A1229" s="1"/>
      <c r="B1229" s="4"/>
      <c r="C1229" s="4"/>
      <c r="D1229" s="1"/>
    </row>
    <row r="1230" spans="1:4" ht="12.75" x14ac:dyDescent="0.2">
      <c r="A1230" s="1"/>
      <c r="B1230" s="4"/>
      <c r="C1230" s="4"/>
      <c r="D1230" s="1"/>
    </row>
    <row r="1231" spans="1:4" ht="12.75" x14ac:dyDescent="0.2">
      <c r="A1231" s="1"/>
      <c r="B1231" s="4"/>
      <c r="C1231" s="4"/>
      <c r="D1231" s="1"/>
    </row>
    <row r="1232" spans="1:4" ht="12.75" x14ac:dyDescent="0.2">
      <c r="A1232" s="1"/>
      <c r="B1232" s="4"/>
      <c r="C1232" s="4"/>
      <c r="D1232" s="1"/>
    </row>
    <row r="1233" spans="1:4" ht="12.75" x14ac:dyDescent="0.2">
      <c r="A1233" s="1"/>
      <c r="B1233" s="4"/>
      <c r="C1233" s="4"/>
      <c r="D1233" s="1"/>
    </row>
    <row r="1234" spans="1:4" ht="12.75" x14ac:dyDescent="0.2">
      <c r="A1234" s="1"/>
      <c r="B1234" s="4"/>
      <c r="C1234" s="4"/>
      <c r="D1234" s="1"/>
    </row>
    <row r="1235" spans="1:4" ht="12.75" x14ac:dyDescent="0.2">
      <c r="A1235" s="1"/>
      <c r="B1235" s="4"/>
      <c r="C1235" s="4"/>
      <c r="D1235" s="1"/>
    </row>
    <row r="1236" spans="1:4" ht="12.75" x14ac:dyDescent="0.2">
      <c r="A1236" s="1"/>
      <c r="B1236" s="4"/>
      <c r="C1236" s="4"/>
      <c r="D1236" s="1"/>
    </row>
    <row r="1237" spans="1:4" ht="12.75" x14ac:dyDescent="0.2">
      <c r="A1237" s="1"/>
      <c r="B1237" s="4"/>
      <c r="C1237" s="4"/>
      <c r="D1237" s="1"/>
    </row>
    <row r="1238" spans="1:4" ht="12.75" x14ac:dyDescent="0.2">
      <c r="A1238" s="1"/>
      <c r="B1238" s="4"/>
      <c r="C1238" s="4"/>
      <c r="D1238" s="1"/>
    </row>
    <row r="1239" spans="1:4" ht="12.75" x14ac:dyDescent="0.2">
      <c r="A1239" s="1"/>
      <c r="B1239" s="4"/>
      <c r="C1239" s="4"/>
      <c r="D1239" s="1"/>
    </row>
    <row r="1240" spans="1:4" ht="12.75" x14ac:dyDescent="0.2">
      <c r="A1240" s="1"/>
      <c r="B1240" s="4"/>
      <c r="C1240" s="4"/>
      <c r="D1240" s="1"/>
    </row>
    <row r="1241" spans="1:4" ht="12.75" x14ac:dyDescent="0.2">
      <c r="A1241" s="1"/>
      <c r="B1241" s="4"/>
      <c r="C1241" s="4"/>
      <c r="D1241" s="1"/>
    </row>
    <row r="1242" spans="1:4" ht="12.75" x14ac:dyDescent="0.2">
      <c r="A1242" s="1"/>
      <c r="B1242" s="4"/>
      <c r="C1242" s="4"/>
      <c r="D1242" s="1"/>
    </row>
    <row r="1243" spans="1:4" ht="12.75" x14ac:dyDescent="0.2">
      <c r="A1243" s="1"/>
      <c r="B1243" s="4"/>
      <c r="C1243" s="4"/>
      <c r="D1243" s="1"/>
    </row>
    <row r="1244" spans="1:4" ht="12.75" x14ac:dyDescent="0.2">
      <c r="A1244" s="1"/>
      <c r="B1244" s="4"/>
      <c r="C1244" s="4"/>
      <c r="D1244" s="1"/>
    </row>
    <row r="1245" spans="1:4" ht="12.75" x14ac:dyDescent="0.2">
      <c r="A1245" s="1"/>
      <c r="B1245" s="4"/>
      <c r="C1245" s="4"/>
      <c r="D1245" s="1"/>
    </row>
    <row r="1246" spans="1:4" ht="12.75" x14ac:dyDescent="0.2">
      <c r="A1246" s="1"/>
      <c r="B1246" s="4"/>
      <c r="C1246" s="4"/>
      <c r="D1246" s="1"/>
    </row>
    <row r="1247" spans="1:4" ht="12.75" x14ac:dyDescent="0.2">
      <c r="A1247" s="1"/>
      <c r="B1247" s="4"/>
      <c r="C1247" s="4"/>
      <c r="D1247" s="1"/>
    </row>
    <row r="1248" spans="1:4" ht="12.75" x14ac:dyDescent="0.2">
      <c r="A1248" s="1"/>
      <c r="B1248" s="4"/>
      <c r="C1248" s="4"/>
      <c r="D1248" s="1"/>
    </row>
    <row r="1249" spans="1:4" ht="12.75" x14ac:dyDescent="0.2">
      <c r="A1249" s="1"/>
      <c r="B1249" s="4"/>
      <c r="C1249" s="4"/>
      <c r="D1249" s="1"/>
    </row>
    <row r="1250" spans="1:4" ht="12.75" x14ac:dyDescent="0.2">
      <c r="A1250" s="1"/>
      <c r="B1250" s="4"/>
      <c r="C1250" s="4"/>
      <c r="D1250" s="1"/>
    </row>
    <row r="1251" spans="1:4" ht="12.75" x14ac:dyDescent="0.2">
      <c r="A1251" s="1"/>
      <c r="B1251" s="4"/>
      <c r="C1251" s="4"/>
      <c r="D1251" s="1"/>
    </row>
    <row r="1252" spans="1:4" ht="12.75" x14ac:dyDescent="0.2">
      <c r="A1252" s="1"/>
      <c r="B1252" s="4"/>
      <c r="C1252" s="4"/>
      <c r="D1252" s="1"/>
    </row>
    <row r="1253" spans="1:4" ht="12.75" x14ac:dyDescent="0.2">
      <c r="A1253" s="1"/>
      <c r="B1253" s="4"/>
      <c r="C1253" s="4"/>
      <c r="D1253" s="1"/>
    </row>
    <row r="1254" spans="1:4" ht="12.75" x14ac:dyDescent="0.2">
      <c r="A1254" s="1"/>
      <c r="B1254" s="4"/>
      <c r="C1254" s="4"/>
      <c r="D1254" s="1"/>
    </row>
    <row r="1255" spans="1:4" ht="12.75" x14ac:dyDescent="0.2">
      <c r="A1255" s="1"/>
      <c r="B1255" s="4"/>
      <c r="C1255" s="4"/>
      <c r="D1255" s="1"/>
    </row>
    <row r="1256" spans="1:4" ht="12.75" x14ac:dyDescent="0.2">
      <c r="A1256" s="1"/>
      <c r="B1256" s="4"/>
      <c r="C1256" s="4"/>
      <c r="D1256" s="1"/>
    </row>
    <row r="1257" spans="1:4" ht="12.75" x14ac:dyDescent="0.2">
      <c r="A1257" s="1"/>
      <c r="B1257" s="4"/>
      <c r="C1257" s="4"/>
      <c r="D1257" s="1"/>
    </row>
    <row r="1258" spans="1:4" ht="12.75" x14ac:dyDescent="0.2">
      <c r="A1258" s="1"/>
      <c r="B1258" s="4"/>
      <c r="C1258" s="4"/>
      <c r="D1258" s="1"/>
    </row>
    <row r="1259" spans="1:4" ht="12.75" x14ac:dyDescent="0.2">
      <c r="A1259" s="1"/>
      <c r="B1259" s="4"/>
      <c r="C1259" s="4"/>
      <c r="D1259" s="1"/>
    </row>
    <row r="1260" spans="1:4" ht="12.75" x14ac:dyDescent="0.2">
      <c r="A1260" s="1"/>
      <c r="B1260" s="4"/>
      <c r="C1260" s="4"/>
      <c r="D1260" s="1"/>
    </row>
    <row r="1261" spans="1:4" ht="12.75" x14ac:dyDescent="0.2">
      <c r="A1261" s="1"/>
      <c r="B1261" s="4"/>
      <c r="C1261" s="4"/>
      <c r="D1261" s="1"/>
    </row>
    <row r="1262" spans="1:4" ht="12.75" x14ac:dyDescent="0.2">
      <c r="A1262" s="1"/>
      <c r="B1262" s="4"/>
      <c r="C1262" s="4"/>
      <c r="D1262" s="1"/>
    </row>
    <row r="1263" spans="1:4" ht="12.75" x14ac:dyDescent="0.2">
      <c r="A1263" s="1"/>
      <c r="B1263" s="4"/>
      <c r="C1263" s="4"/>
      <c r="D1263" s="1"/>
    </row>
    <row r="1264" spans="1:4" ht="12.75" x14ac:dyDescent="0.2">
      <c r="A1264" s="1"/>
      <c r="B1264" s="4"/>
      <c r="C1264" s="4"/>
      <c r="D1264" s="1"/>
    </row>
    <row r="1265" spans="1:4" ht="12.75" x14ac:dyDescent="0.2">
      <c r="A1265" s="1"/>
      <c r="B1265" s="4"/>
      <c r="C1265" s="4"/>
      <c r="D1265" s="1"/>
    </row>
    <row r="1266" spans="1:4" ht="12.75" x14ac:dyDescent="0.2">
      <c r="A1266" s="1"/>
      <c r="B1266" s="4"/>
      <c r="C1266" s="4"/>
      <c r="D1266" s="1"/>
    </row>
    <row r="1267" spans="1:4" ht="12.75" x14ac:dyDescent="0.2">
      <c r="A1267" s="1"/>
      <c r="B1267" s="4"/>
      <c r="C1267" s="4"/>
      <c r="D1267" s="1"/>
    </row>
    <row r="1268" spans="1:4" ht="12.75" x14ac:dyDescent="0.2">
      <c r="A1268" s="1"/>
      <c r="B1268" s="4"/>
      <c r="C1268" s="4"/>
      <c r="D1268" s="1"/>
    </row>
    <row r="1269" spans="1:4" ht="12.75" x14ac:dyDescent="0.2">
      <c r="A1269" s="1"/>
      <c r="B1269" s="4"/>
      <c r="C1269" s="4"/>
      <c r="D1269" s="1"/>
    </row>
    <row r="1270" spans="1:4" ht="12.75" x14ac:dyDescent="0.2">
      <c r="A1270" s="1"/>
      <c r="B1270" s="4"/>
      <c r="C1270" s="4"/>
      <c r="D1270" s="1"/>
    </row>
    <row r="1271" spans="1:4" ht="12.75" x14ac:dyDescent="0.2">
      <c r="A1271" s="1"/>
      <c r="B1271" s="4"/>
      <c r="C1271" s="4"/>
      <c r="D1271" s="1"/>
    </row>
    <row r="1272" spans="1:4" ht="12.75" x14ac:dyDescent="0.2">
      <c r="A1272" s="1"/>
      <c r="B1272" s="4"/>
      <c r="C1272" s="4"/>
      <c r="D1272" s="1"/>
    </row>
    <row r="1273" spans="1:4" ht="12.75" x14ac:dyDescent="0.2">
      <c r="A1273" s="1"/>
      <c r="B1273" s="4"/>
      <c r="C1273" s="4"/>
      <c r="D1273" s="1"/>
    </row>
    <row r="1274" spans="1:4" ht="12.75" x14ac:dyDescent="0.2">
      <c r="A1274" s="1"/>
      <c r="B1274" s="4"/>
      <c r="C1274" s="4"/>
      <c r="D1274" s="1"/>
    </row>
    <row r="1275" spans="1:4" ht="12.75" x14ac:dyDescent="0.2">
      <c r="A1275" s="1"/>
      <c r="B1275" s="4"/>
      <c r="C1275" s="4"/>
      <c r="D1275" s="1"/>
    </row>
    <row r="1276" spans="1:4" ht="12.75" x14ac:dyDescent="0.2">
      <c r="A1276" s="1"/>
      <c r="B1276" s="4"/>
      <c r="C1276" s="4"/>
      <c r="D1276" s="1"/>
    </row>
    <row r="1277" spans="1:4" ht="12.75" x14ac:dyDescent="0.2">
      <c r="A1277" s="1"/>
      <c r="B1277" s="4"/>
      <c r="C1277" s="4"/>
      <c r="D1277" s="1"/>
    </row>
    <row r="1278" spans="1:4" ht="12.75" x14ac:dyDescent="0.2">
      <c r="A1278" s="1"/>
      <c r="B1278" s="4"/>
      <c r="C1278" s="4"/>
      <c r="D1278" s="1"/>
    </row>
    <row r="1279" spans="1:4" ht="12.75" x14ac:dyDescent="0.2">
      <c r="A1279" s="1"/>
      <c r="B1279" s="4"/>
      <c r="C1279" s="4"/>
      <c r="D1279" s="1"/>
    </row>
    <row r="1280" spans="1:4" ht="12.75" x14ac:dyDescent="0.2">
      <c r="A1280" s="1"/>
      <c r="B1280" s="4"/>
      <c r="C1280" s="4"/>
      <c r="D1280" s="1"/>
    </row>
    <row r="1281" spans="1:4" ht="12.75" x14ac:dyDescent="0.2">
      <c r="A1281" s="1"/>
      <c r="B1281" s="4"/>
      <c r="C1281" s="4"/>
      <c r="D1281" s="1"/>
    </row>
    <row r="1282" spans="1:4" ht="12.75" x14ac:dyDescent="0.2">
      <c r="A1282" s="1"/>
      <c r="B1282" s="4"/>
      <c r="C1282" s="4"/>
      <c r="D1282" s="1"/>
    </row>
    <row r="1283" spans="1:4" ht="12.75" x14ac:dyDescent="0.2">
      <c r="A1283" s="1"/>
      <c r="B1283" s="4"/>
      <c r="C1283" s="4"/>
      <c r="D1283" s="1"/>
    </row>
    <row r="1284" spans="1:4" ht="12.75" x14ac:dyDescent="0.2">
      <c r="A1284" s="1"/>
      <c r="B1284" s="4"/>
      <c r="C1284" s="4"/>
      <c r="D1284" s="1"/>
    </row>
    <row r="1285" spans="1:4" ht="12.75" x14ac:dyDescent="0.2">
      <c r="A1285" s="1"/>
      <c r="B1285" s="4"/>
      <c r="C1285" s="4"/>
      <c r="D1285" s="1"/>
    </row>
    <row r="1286" spans="1:4" ht="12.75" x14ac:dyDescent="0.2">
      <c r="A1286" s="1"/>
      <c r="B1286" s="4"/>
      <c r="C1286" s="4"/>
      <c r="D1286" s="1"/>
    </row>
    <row r="1287" spans="1:4" ht="12.75" x14ac:dyDescent="0.2">
      <c r="A1287" s="1"/>
      <c r="B1287" s="4"/>
      <c r="C1287" s="4"/>
      <c r="D1287" s="1"/>
    </row>
    <row r="1288" spans="1:4" ht="12.75" x14ac:dyDescent="0.2">
      <c r="A1288" s="1"/>
      <c r="B1288" s="4"/>
      <c r="C1288" s="4"/>
      <c r="D1288" s="1"/>
    </row>
    <row r="1289" spans="1:4" ht="12.75" x14ac:dyDescent="0.2">
      <c r="A1289" s="1"/>
      <c r="B1289" s="4"/>
      <c r="C1289" s="4"/>
      <c r="D1289" s="1"/>
    </row>
    <row r="1290" spans="1:4" ht="12.75" x14ac:dyDescent="0.2">
      <c r="A1290" s="1"/>
      <c r="B1290" s="4"/>
      <c r="C1290" s="4"/>
      <c r="D1290" s="1"/>
    </row>
    <row r="1291" spans="1:4" ht="12.75" x14ac:dyDescent="0.2">
      <c r="A1291" s="1"/>
      <c r="B1291" s="4"/>
      <c r="C1291" s="4"/>
      <c r="D1291" s="1"/>
    </row>
    <row r="1292" spans="1:4" ht="12.75" x14ac:dyDescent="0.2">
      <c r="A1292" s="1"/>
      <c r="B1292" s="4"/>
      <c r="C1292" s="4"/>
      <c r="D1292" s="1"/>
    </row>
    <row r="1293" spans="1:4" ht="12.75" x14ac:dyDescent="0.2">
      <c r="A1293" s="1"/>
      <c r="B1293" s="4"/>
      <c r="C1293" s="4"/>
      <c r="D1293" s="1"/>
    </row>
    <row r="1294" spans="1:4" ht="12.75" x14ac:dyDescent="0.2">
      <c r="A1294" s="1"/>
      <c r="B1294" s="4"/>
      <c r="C1294" s="4"/>
      <c r="D1294" s="1"/>
    </row>
    <row r="1295" spans="1:4" ht="12.75" x14ac:dyDescent="0.2">
      <c r="A1295" s="1"/>
      <c r="B1295" s="4"/>
      <c r="C1295" s="4"/>
      <c r="D1295" s="1"/>
    </row>
    <row r="1296" spans="1:4" ht="12.75" x14ac:dyDescent="0.2">
      <c r="A1296" s="1"/>
      <c r="B1296" s="4"/>
      <c r="C1296" s="4"/>
      <c r="D1296" s="1"/>
    </row>
    <row r="1297" spans="1:4" ht="12.75" x14ac:dyDescent="0.2">
      <c r="A1297" s="1"/>
      <c r="B1297" s="4"/>
      <c r="C1297" s="4"/>
      <c r="D1297" s="1"/>
    </row>
    <row r="1298" spans="1:4" ht="12.75" x14ac:dyDescent="0.2">
      <c r="A1298" s="1"/>
      <c r="B1298" s="4"/>
      <c r="C1298" s="4"/>
      <c r="D1298" s="1"/>
    </row>
    <row r="1299" spans="1:4" ht="12.75" x14ac:dyDescent="0.2">
      <c r="A1299" s="1"/>
      <c r="B1299" s="4"/>
      <c r="C1299" s="4"/>
      <c r="D1299" s="1"/>
    </row>
    <row r="1300" spans="1:4" ht="12.75" x14ac:dyDescent="0.2">
      <c r="A1300" s="1"/>
      <c r="B1300" s="4"/>
      <c r="C1300" s="4"/>
      <c r="D1300" s="1"/>
    </row>
    <row r="1301" spans="1:4" ht="12.75" x14ac:dyDescent="0.2">
      <c r="A1301" s="1"/>
      <c r="B1301" s="4"/>
      <c r="C1301" s="4"/>
      <c r="D1301" s="1"/>
    </row>
    <row r="1302" spans="1:4" ht="12.75" x14ac:dyDescent="0.2">
      <c r="A1302" s="1"/>
      <c r="B1302" s="4"/>
      <c r="C1302" s="4"/>
      <c r="D1302" s="1"/>
    </row>
    <row r="1303" spans="1:4" ht="12.75" x14ac:dyDescent="0.2">
      <c r="A1303" s="1"/>
      <c r="B1303" s="4"/>
      <c r="C1303" s="4"/>
      <c r="D1303" s="1"/>
    </row>
    <row r="1304" spans="1:4" ht="12.75" x14ac:dyDescent="0.2">
      <c r="A1304" s="1"/>
      <c r="B1304" s="4"/>
      <c r="C1304" s="4"/>
      <c r="D1304" s="1"/>
    </row>
    <row r="1305" spans="1:4" ht="12.75" x14ac:dyDescent="0.2">
      <c r="A1305" s="1"/>
      <c r="B1305" s="4"/>
      <c r="C1305" s="4"/>
      <c r="D1305" s="1"/>
    </row>
    <row r="1306" spans="1:4" ht="12.75" x14ac:dyDescent="0.2">
      <c r="A1306" s="1"/>
      <c r="B1306" s="4"/>
      <c r="C1306" s="4"/>
      <c r="D1306" s="1"/>
    </row>
    <row r="1307" spans="1:4" ht="12.75" x14ac:dyDescent="0.2">
      <c r="A1307" s="1"/>
      <c r="B1307" s="4"/>
      <c r="C1307" s="4"/>
      <c r="D1307" s="1"/>
    </row>
    <row r="1308" spans="1:4" ht="12.75" x14ac:dyDescent="0.2">
      <c r="A1308" s="1"/>
      <c r="B1308" s="4"/>
      <c r="C1308" s="4"/>
      <c r="D1308" s="1"/>
    </row>
    <row r="1309" spans="1:4" ht="12.75" x14ac:dyDescent="0.2">
      <c r="A1309" s="1"/>
      <c r="B1309" s="4"/>
      <c r="C1309" s="4"/>
      <c r="D1309" s="1"/>
    </row>
    <row r="1310" spans="1:4" ht="12.75" x14ac:dyDescent="0.2">
      <c r="A1310" s="1"/>
      <c r="B1310" s="4"/>
      <c r="C1310" s="4"/>
      <c r="D1310" s="1"/>
    </row>
    <row r="1311" spans="1:4" ht="12.75" x14ac:dyDescent="0.2">
      <c r="A1311" s="1"/>
      <c r="B1311" s="4"/>
      <c r="C1311" s="4"/>
      <c r="D1311" s="1"/>
    </row>
    <row r="1312" spans="1:4" ht="12.75" x14ac:dyDescent="0.2">
      <c r="A1312" s="1"/>
      <c r="B1312" s="4"/>
      <c r="C1312" s="4"/>
      <c r="D1312" s="1"/>
    </row>
    <row r="1313" spans="1:4" ht="12.75" x14ac:dyDescent="0.2">
      <c r="A1313" s="1"/>
      <c r="B1313" s="4"/>
      <c r="C1313" s="4"/>
      <c r="D1313" s="1"/>
    </row>
    <row r="1314" spans="1:4" ht="12.75" x14ac:dyDescent="0.2">
      <c r="A1314" s="1"/>
      <c r="B1314" s="4"/>
      <c r="C1314" s="4"/>
      <c r="D1314" s="1"/>
    </row>
    <row r="1315" spans="1:4" ht="12.75" x14ac:dyDescent="0.2">
      <c r="A1315" s="1"/>
      <c r="B1315" s="4"/>
      <c r="C1315" s="4"/>
      <c r="D1315" s="1"/>
    </row>
    <row r="1316" spans="1:4" ht="12.75" x14ac:dyDescent="0.2">
      <c r="A1316" s="1"/>
      <c r="B1316" s="4"/>
      <c r="C1316" s="4"/>
      <c r="D1316" s="1"/>
    </row>
    <row r="1317" spans="1:4" ht="12.75" x14ac:dyDescent="0.2">
      <c r="A1317" s="1"/>
      <c r="B1317" s="4"/>
      <c r="C1317" s="4"/>
      <c r="D1317" s="1"/>
    </row>
    <row r="1318" spans="1:4" ht="12.75" x14ac:dyDescent="0.2">
      <c r="A1318" s="1"/>
      <c r="B1318" s="4"/>
      <c r="C1318" s="4"/>
      <c r="D1318" s="1"/>
    </row>
    <row r="1319" spans="1:4" ht="12.75" x14ac:dyDescent="0.2">
      <c r="A1319" s="1"/>
      <c r="B1319" s="4"/>
      <c r="C1319" s="4"/>
      <c r="D1319" s="1"/>
    </row>
    <row r="1320" spans="1:4" ht="12.75" x14ac:dyDescent="0.2">
      <c r="A1320" s="1"/>
      <c r="B1320" s="4"/>
      <c r="C1320" s="4"/>
      <c r="D1320" s="1"/>
    </row>
    <row r="1321" spans="1:4" ht="12.75" x14ac:dyDescent="0.2">
      <c r="A1321" s="1"/>
      <c r="B1321" s="4"/>
      <c r="C1321" s="4"/>
      <c r="D1321" s="1"/>
    </row>
    <row r="1322" spans="1:4" ht="12.75" x14ac:dyDescent="0.2">
      <c r="A1322" s="1"/>
      <c r="B1322" s="4"/>
      <c r="C1322" s="4"/>
      <c r="D1322" s="1"/>
    </row>
    <row r="1323" spans="1:4" ht="12.75" x14ac:dyDescent="0.2">
      <c r="A1323" s="1"/>
      <c r="B1323" s="4"/>
      <c r="C1323" s="4"/>
      <c r="D1323" s="1"/>
    </row>
    <row r="1324" spans="1:4" ht="12.75" x14ac:dyDescent="0.2">
      <c r="A1324" s="1"/>
      <c r="B1324" s="4"/>
      <c r="C1324" s="4"/>
      <c r="D1324" s="1"/>
    </row>
    <row r="1325" spans="1:4" ht="12.75" x14ac:dyDescent="0.2">
      <c r="A1325" s="1"/>
      <c r="B1325" s="4"/>
      <c r="C1325" s="4"/>
      <c r="D1325" s="1"/>
    </row>
    <row r="1326" spans="1:4" ht="12.75" x14ac:dyDescent="0.2">
      <c r="A1326" s="1"/>
      <c r="B1326" s="4"/>
      <c r="C1326" s="4"/>
      <c r="D1326" s="1"/>
    </row>
    <row r="1327" spans="1:4" ht="12.75" x14ac:dyDescent="0.2">
      <c r="A1327" s="1"/>
      <c r="B1327" s="4"/>
      <c r="C1327" s="4"/>
      <c r="D1327" s="1"/>
    </row>
    <row r="1328" spans="1:4" ht="12.75" x14ac:dyDescent="0.2">
      <c r="A1328" s="1"/>
      <c r="B1328" s="4"/>
      <c r="C1328" s="4"/>
      <c r="D1328" s="1"/>
    </row>
    <row r="1329" spans="1:4" ht="12.75" x14ac:dyDescent="0.2">
      <c r="A1329" s="1"/>
      <c r="B1329" s="4"/>
      <c r="C1329" s="4"/>
      <c r="D1329" s="1"/>
    </row>
    <row r="1330" spans="1:4" ht="12.75" x14ac:dyDescent="0.2">
      <c r="A1330" s="1"/>
      <c r="B1330" s="4"/>
      <c r="C1330" s="4"/>
      <c r="D1330" s="1"/>
    </row>
    <row r="1331" spans="1:4" ht="12.75" x14ac:dyDescent="0.2">
      <c r="A1331" s="1"/>
      <c r="B1331" s="4"/>
      <c r="C1331" s="4"/>
      <c r="D1331" s="1"/>
    </row>
    <row r="1332" spans="1:4" ht="12.75" x14ac:dyDescent="0.2">
      <c r="A1332" s="1"/>
      <c r="B1332" s="4"/>
      <c r="C1332" s="4"/>
      <c r="D1332" s="1"/>
    </row>
    <row r="1333" spans="1:4" ht="12.75" x14ac:dyDescent="0.2">
      <c r="A1333" s="1"/>
      <c r="B1333" s="4"/>
      <c r="C1333" s="4"/>
      <c r="D1333" s="1"/>
    </row>
    <row r="1334" spans="1:4" ht="12.75" x14ac:dyDescent="0.2">
      <c r="A1334" s="1"/>
      <c r="B1334" s="4"/>
      <c r="C1334" s="4"/>
      <c r="D1334" s="1"/>
    </row>
    <row r="1335" spans="1:4" ht="12.75" x14ac:dyDescent="0.2">
      <c r="A1335" s="1"/>
      <c r="B1335" s="4"/>
      <c r="C1335" s="4"/>
      <c r="D1335" s="1"/>
    </row>
    <row r="1336" spans="1:4" ht="12.75" x14ac:dyDescent="0.2">
      <c r="A1336" s="1"/>
      <c r="B1336" s="4"/>
      <c r="C1336" s="4"/>
      <c r="D1336" s="1"/>
    </row>
    <row r="1337" spans="1:4" ht="12.75" x14ac:dyDescent="0.2">
      <c r="A1337" s="1"/>
      <c r="B1337" s="4"/>
      <c r="C1337" s="4"/>
      <c r="D1337" s="1"/>
    </row>
    <row r="1338" spans="1:4" ht="12.75" x14ac:dyDescent="0.2">
      <c r="A1338" s="1"/>
      <c r="B1338" s="4"/>
      <c r="C1338" s="4"/>
      <c r="D1338" s="1"/>
    </row>
    <row r="1339" spans="1:4" ht="12.75" x14ac:dyDescent="0.2">
      <c r="A1339" s="1"/>
      <c r="B1339" s="4"/>
      <c r="C1339" s="4"/>
      <c r="D1339" s="1"/>
    </row>
    <row r="1340" spans="1:4" ht="12.75" x14ac:dyDescent="0.2">
      <c r="A1340" s="1"/>
      <c r="B1340" s="4"/>
      <c r="C1340" s="4"/>
      <c r="D1340" s="1"/>
    </row>
    <row r="1341" spans="1:4" ht="12.75" x14ac:dyDescent="0.2">
      <c r="A1341" s="1"/>
      <c r="B1341" s="4"/>
      <c r="C1341" s="4"/>
      <c r="D1341" s="1"/>
    </row>
    <row r="1342" spans="1:4" ht="12.75" x14ac:dyDescent="0.2">
      <c r="A1342" s="1"/>
      <c r="B1342" s="4"/>
      <c r="C1342" s="4"/>
      <c r="D1342" s="1"/>
    </row>
    <row r="1343" spans="1:4" ht="12.75" x14ac:dyDescent="0.2">
      <c r="A1343" s="1"/>
      <c r="B1343" s="4"/>
      <c r="C1343" s="4"/>
      <c r="D1343" s="1"/>
    </row>
    <row r="1344" spans="1:4" ht="12.75" x14ac:dyDescent="0.2">
      <c r="A1344" s="1"/>
      <c r="B1344" s="4"/>
      <c r="C1344" s="4"/>
      <c r="D1344" s="1"/>
    </row>
    <row r="1345" spans="1:4" ht="12.75" x14ac:dyDescent="0.2">
      <c r="A1345" s="1"/>
      <c r="B1345" s="4"/>
      <c r="C1345" s="4"/>
      <c r="D1345" s="1"/>
    </row>
    <row r="1346" spans="1:4" ht="12.75" x14ac:dyDescent="0.2">
      <c r="A1346" s="1"/>
      <c r="B1346" s="4"/>
      <c r="C1346" s="4"/>
      <c r="D1346" s="1"/>
    </row>
    <row r="1347" spans="1:4" ht="12.75" x14ac:dyDescent="0.2">
      <c r="A1347" s="1"/>
      <c r="B1347" s="4"/>
      <c r="C1347" s="4"/>
      <c r="D1347" s="1"/>
    </row>
    <row r="1348" spans="1:4" ht="12.75" x14ac:dyDescent="0.2">
      <c r="A1348" s="1"/>
      <c r="B1348" s="4"/>
      <c r="C1348" s="4"/>
      <c r="D1348" s="1"/>
    </row>
    <row r="1349" spans="1:4" ht="12.75" x14ac:dyDescent="0.2">
      <c r="A1349" s="1"/>
      <c r="B1349" s="4"/>
      <c r="C1349" s="4"/>
      <c r="D1349" s="1"/>
    </row>
    <row r="1350" spans="1:4" ht="12.75" x14ac:dyDescent="0.2">
      <c r="A1350" s="1"/>
      <c r="B1350" s="4"/>
      <c r="C1350" s="4"/>
      <c r="D1350" s="1"/>
    </row>
    <row r="1351" spans="1:4" ht="12.75" x14ac:dyDescent="0.2">
      <c r="A1351" s="1"/>
      <c r="B1351" s="4"/>
      <c r="C1351" s="4"/>
      <c r="D1351" s="1"/>
    </row>
    <row r="1352" spans="1:4" ht="12.75" x14ac:dyDescent="0.2">
      <c r="A1352" s="1"/>
      <c r="B1352" s="4"/>
      <c r="C1352" s="4"/>
      <c r="D1352" s="1"/>
    </row>
    <row r="1353" spans="1:4" ht="12.75" x14ac:dyDescent="0.2">
      <c r="A1353" s="1"/>
      <c r="B1353" s="4"/>
      <c r="C1353" s="4"/>
      <c r="D1353" s="1"/>
    </row>
    <row r="1354" spans="1:4" ht="12.75" x14ac:dyDescent="0.2">
      <c r="A1354" s="1"/>
      <c r="B1354" s="4"/>
      <c r="C1354" s="4"/>
      <c r="D1354" s="1"/>
    </row>
    <row r="1355" spans="1:4" ht="12.75" x14ac:dyDescent="0.2">
      <c r="A1355" s="1"/>
      <c r="B1355" s="4"/>
      <c r="C1355" s="4"/>
      <c r="D1355" s="1"/>
    </row>
    <row r="1356" spans="1:4" ht="12.75" x14ac:dyDescent="0.2">
      <c r="A1356" s="1"/>
      <c r="B1356" s="4"/>
      <c r="C1356" s="4"/>
      <c r="D1356" s="1"/>
    </row>
    <row r="1357" spans="1:4" ht="12.75" x14ac:dyDescent="0.2">
      <c r="A1357" s="1"/>
      <c r="B1357" s="4"/>
      <c r="C1357" s="4"/>
      <c r="D1357" s="1"/>
    </row>
    <row r="1358" spans="1:4" ht="12.75" x14ac:dyDescent="0.2">
      <c r="A1358" s="1"/>
      <c r="B1358" s="4"/>
      <c r="C1358" s="4"/>
      <c r="D1358" s="1"/>
    </row>
    <row r="1359" spans="1:4" ht="12.75" x14ac:dyDescent="0.2">
      <c r="A1359" s="1"/>
      <c r="B1359" s="4"/>
      <c r="C1359" s="4"/>
      <c r="D1359" s="1"/>
    </row>
    <row r="1360" spans="1:4" ht="12.75" x14ac:dyDescent="0.2">
      <c r="A1360" s="1"/>
      <c r="B1360" s="4"/>
      <c r="C1360" s="4"/>
      <c r="D1360" s="1"/>
    </row>
    <row r="1361" spans="1:4" ht="12.75" x14ac:dyDescent="0.2">
      <c r="A1361" s="1"/>
      <c r="B1361" s="4"/>
      <c r="C1361" s="4"/>
      <c r="D1361" s="1"/>
    </row>
    <row r="1362" spans="1:4" ht="12.75" x14ac:dyDescent="0.2">
      <c r="A1362" s="1"/>
      <c r="B1362" s="4"/>
      <c r="C1362" s="4"/>
      <c r="D1362" s="1"/>
    </row>
    <row r="1363" spans="1:4" ht="12.75" x14ac:dyDescent="0.2">
      <c r="A1363" s="1"/>
      <c r="B1363" s="4"/>
      <c r="C1363" s="4"/>
      <c r="D1363" s="1"/>
    </row>
    <row r="1364" spans="1:4" ht="12.75" x14ac:dyDescent="0.2">
      <c r="A1364" s="1"/>
      <c r="B1364" s="4"/>
      <c r="C1364" s="4"/>
      <c r="D1364" s="1"/>
    </row>
    <row r="1365" spans="1:4" ht="12.75" x14ac:dyDescent="0.2">
      <c r="A1365" s="1"/>
      <c r="B1365" s="4"/>
      <c r="C1365" s="4"/>
      <c r="D1365" s="1"/>
    </row>
    <row r="1366" spans="1:4" ht="12.75" x14ac:dyDescent="0.2">
      <c r="A1366" s="1"/>
      <c r="B1366" s="4"/>
      <c r="C1366" s="4"/>
      <c r="D1366" s="1"/>
    </row>
    <row r="1367" spans="1:4" ht="12.75" x14ac:dyDescent="0.2">
      <c r="A1367" s="1"/>
      <c r="B1367" s="4"/>
      <c r="C1367" s="4"/>
      <c r="D1367" s="1"/>
    </row>
    <row r="1368" spans="1:4" ht="12.75" x14ac:dyDescent="0.2">
      <c r="A1368" s="1"/>
      <c r="B1368" s="4"/>
      <c r="C1368" s="4"/>
      <c r="D1368" s="1"/>
    </row>
    <row r="1369" spans="1:4" ht="12.75" x14ac:dyDescent="0.2">
      <c r="A1369" s="1"/>
      <c r="B1369" s="4"/>
      <c r="C1369" s="4"/>
      <c r="D1369" s="1"/>
    </row>
    <row r="1370" spans="1:4" ht="12.75" x14ac:dyDescent="0.2">
      <c r="A1370" s="1"/>
      <c r="B1370" s="4"/>
      <c r="C1370" s="4"/>
      <c r="D1370" s="1"/>
    </row>
    <row r="1371" spans="1:4" ht="12.75" x14ac:dyDescent="0.2">
      <c r="A1371" s="1"/>
      <c r="B1371" s="4"/>
      <c r="C1371" s="4"/>
      <c r="D1371" s="1"/>
    </row>
    <row r="1372" spans="1:4" ht="12.75" x14ac:dyDescent="0.2">
      <c r="A1372" s="1"/>
      <c r="B1372" s="4"/>
      <c r="C1372" s="4"/>
      <c r="D1372" s="1"/>
    </row>
    <row r="1373" spans="1:4" ht="12.75" x14ac:dyDescent="0.2">
      <c r="A1373" s="1"/>
      <c r="B1373" s="4"/>
      <c r="C1373" s="4"/>
      <c r="D1373" s="1"/>
    </row>
    <row r="1374" spans="1:4" ht="12.75" x14ac:dyDescent="0.2">
      <c r="A1374" s="1"/>
      <c r="B1374" s="4"/>
      <c r="C1374" s="4"/>
      <c r="D1374" s="1"/>
    </row>
    <row r="1375" spans="1:4" ht="12.75" x14ac:dyDescent="0.2">
      <c r="A1375" s="1"/>
      <c r="B1375" s="4"/>
      <c r="C1375" s="4"/>
      <c r="D1375" s="1"/>
    </row>
    <row r="1376" spans="1:4" ht="12.75" x14ac:dyDescent="0.2">
      <c r="A1376" s="1"/>
      <c r="B1376" s="4"/>
      <c r="C1376" s="4"/>
      <c r="D1376" s="1"/>
    </row>
    <row r="1377" spans="1:4" ht="12.75" x14ac:dyDescent="0.2">
      <c r="A1377" s="1"/>
      <c r="B1377" s="4"/>
      <c r="C1377" s="4"/>
      <c r="D1377" s="1"/>
    </row>
    <row r="1378" spans="1:4" ht="12.75" x14ac:dyDescent="0.2">
      <c r="A1378" s="1"/>
      <c r="B1378" s="4"/>
      <c r="C1378" s="4"/>
      <c r="D1378" s="1"/>
    </row>
    <row r="1379" spans="1:4" ht="12.75" x14ac:dyDescent="0.2">
      <c r="A1379" s="1"/>
      <c r="B1379" s="4"/>
      <c r="C1379" s="4"/>
      <c r="D1379" s="1"/>
    </row>
    <row r="1380" spans="1:4" ht="12.75" x14ac:dyDescent="0.2">
      <c r="A1380" s="1"/>
      <c r="B1380" s="4"/>
      <c r="C1380" s="4"/>
      <c r="D1380" s="1"/>
    </row>
    <row r="1381" spans="1:4" ht="12.75" x14ac:dyDescent="0.2">
      <c r="A1381" s="1"/>
      <c r="B1381" s="4"/>
      <c r="C1381" s="4"/>
      <c r="D1381" s="1"/>
    </row>
    <row r="1382" spans="1:4" ht="12.75" x14ac:dyDescent="0.2">
      <c r="A1382" s="1"/>
      <c r="B1382" s="4"/>
      <c r="C1382" s="4"/>
      <c r="D1382" s="1"/>
    </row>
    <row r="1383" spans="1:4" ht="12.75" x14ac:dyDescent="0.2">
      <c r="A1383" s="1"/>
      <c r="B1383" s="4"/>
      <c r="C1383" s="4"/>
      <c r="D1383" s="1"/>
    </row>
    <row r="1384" spans="1:4" ht="12.75" x14ac:dyDescent="0.2">
      <c r="A1384" s="1"/>
      <c r="B1384" s="4"/>
      <c r="C1384" s="4"/>
      <c r="D1384" s="1"/>
    </row>
    <row r="1385" spans="1:4" ht="12.75" x14ac:dyDescent="0.2">
      <c r="A1385" s="1"/>
      <c r="B1385" s="4"/>
      <c r="C1385" s="4"/>
      <c r="D1385" s="1"/>
    </row>
    <row r="1386" spans="1:4" ht="12.75" x14ac:dyDescent="0.2">
      <c r="A1386" s="1"/>
      <c r="B1386" s="4"/>
      <c r="C1386" s="4"/>
      <c r="D1386" s="1"/>
    </row>
    <row r="1387" spans="1:4" ht="12.75" x14ac:dyDescent="0.2">
      <c r="A1387" s="1"/>
      <c r="B1387" s="4"/>
      <c r="C1387" s="4"/>
      <c r="D1387" s="1"/>
    </row>
    <row r="1388" spans="1:4" ht="12.75" x14ac:dyDescent="0.2">
      <c r="A1388" s="1"/>
      <c r="B1388" s="4"/>
      <c r="C1388" s="4"/>
      <c r="D1388" s="1"/>
    </row>
    <row r="1389" spans="1:4" ht="12.75" x14ac:dyDescent="0.2">
      <c r="A1389" s="1"/>
      <c r="B1389" s="4"/>
      <c r="C1389" s="4"/>
      <c r="D1389" s="1"/>
    </row>
    <row r="1390" spans="1:4" ht="12.75" x14ac:dyDescent="0.2">
      <c r="A1390" s="1"/>
      <c r="B1390" s="4"/>
      <c r="C1390" s="4"/>
      <c r="D1390" s="1"/>
    </row>
    <row r="1391" spans="1:4" ht="12.75" x14ac:dyDescent="0.2">
      <c r="A1391" s="1"/>
      <c r="B1391" s="4"/>
      <c r="C1391" s="4"/>
      <c r="D1391" s="1"/>
    </row>
    <row r="1392" spans="1:4" ht="12.75" x14ac:dyDescent="0.2">
      <c r="A1392" s="1"/>
      <c r="B1392" s="4"/>
      <c r="C1392" s="4"/>
      <c r="D1392" s="1"/>
    </row>
    <row r="1393" spans="1:4" ht="12.75" x14ac:dyDescent="0.2">
      <c r="A1393" s="1"/>
      <c r="B1393" s="4"/>
      <c r="C1393" s="4"/>
      <c r="D1393" s="1"/>
    </row>
    <row r="1394" spans="1:4" ht="12.75" x14ac:dyDescent="0.2">
      <c r="A1394" s="1"/>
      <c r="B1394" s="4"/>
      <c r="C1394" s="4"/>
      <c r="D1394" s="1"/>
    </row>
    <row r="1395" spans="1:4" ht="12.75" x14ac:dyDescent="0.2">
      <c r="A1395" s="1"/>
      <c r="B1395" s="4"/>
      <c r="C1395" s="4"/>
      <c r="D1395" s="1"/>
    </row>
    <row r="1396" spans="1:4" ht="12.75" x14ac:dyDescent="0.2">
      <c r="A1396" s="1"/>
      <c r="B1396" s="4"/>
      <c r="C1396" s="4"/>
      <c r="D1396" s="1"/>
    </row>
    <row r="1397" spans="1:4" ht="12.75" x14ac:dyDescent="0.2">
      <c r="A1397" s="1"/>
      <c r="B1397" s="4"/>
      <c r="C1397" s="4"/>
      <c r="D1397" s="1"/>
    </row>
    <row r="1398" spans="1:4" ht="12.75" x14ac:dyDescent="0.2">
      <c r="A1398" s="1"/>
      <c r="B1398" s="4"/>
      <c r="C1398" s="4"/>
      <c r="D1398" s="1"/>
    </row>
    <row r="1399" spans="1:4" ht="12.75" x14ac:dyDescent="0.2">
      <c r="A1399" s="1"/>
      <c r="B1399" s="4"/>
      <c r="C1399" s="4"/>
      <c r="D1399" s="1"/>
    </row>
    <row r="1400" spans="1:4" ht="12.75" x14ac:dyDescent="0.2">
      <c r="A1400" s="1"/>
      <c r="B1400" s="4"/>
      <c r="C1400" s="4"/>
      <c r="D1400" s="1"/>
    </row>
    <row r="1401" spans="1:4" ht="12.75" x14ac:dyDescent="0.2">
      <c r="A1401" s="1"/>
      <c r="B1401" s="4"/>
      <c r="C1401" s="4"/>
      <c r="D1401" s="1"/>
    </row>
    <row r="1402" spans="1:4" ht="12.75" x14ac:dyDescent="0.2">
      <c r="A1402" s="1"/>
      <c r="B1402" s="4"/>
      <c r="C1402" s="4"/>
      <c r="D1402" s="1"/>
    </row>
    <row r="1403" spans="1:4" ht="12.75" x14ac:dyDescent="0.2">
      <c r="A1403" s="1"/>
      <c r="B1403" s="4"/>
      <c r="C1403" s="4"/>
      <c r="D1403" s="1"/>
    </row>
    <row r="1404" spans="1:4" ht="12.75" x14ac:dyDescent="0.2">
      <c r="A1404" s="1"/>
      <c r="B1404" s="4"/>
      <c r="C1404" s="4"/>
      <c r="D1404" s="1"/>
    </row>
    <row r="1405" spans="1:4" ht="12.75" x14ac:dyDescent="0.2">
      <c r="A1405" s="1"/>
      <c r="B1405" s="4"/>
      <c r="C1405" s="4"/>
      <c r="D1405" s="1"/>
    </row>
    <row r="1406" spans="1:4" ht="12.75" x14ac:dyDescent="0.2">
      <c r="A1406" s="1"/>
      <c r="B1406" s="4"/>
      <c r="C1406" s="4"/>
      <c r="D1406" s="1"/>
    </row>
    <row r="1407" spans="1:4" ht="12.75" x14ac:dyDescent="0.2">
      <c r="A1407" s="1"/>
      <c r="B1407" s="4"/>
      <c r="C1407" s="4"/>
      <c r="D1407" s="1"/>
    </row>
    <row r="1408" spans="1:4" ht="12.75" x14ac:dyDescent="0.2">
      <c r="A1408" s="1"/>
      <c r="B1408" s="4"/>
      <c r="C1408" s="4"/>
      <c r="D1408" s="1"/>
    </row>
    <row r="1409" spans="1:4" ht="12.75" x14ac:dyDescent="0.2">
      <c r="A1409" s="1"/>
      <c r="B1409" s="4"/>
      <c r="C1409" s="4"/>
      <c r="D1409" s="1"/>
    </row>
    <row r="1410" spans="1:4" ht="12.75" x14ac:dyDescent="0.2">
      <c r="A1410" s="1"/>
      <c r="B1410" s="4"/>
      <c r="C1410" s="4"/>
      <c r="D1410" s="1"/>
    </row>
    <row r="1411" spans="1:4" ht="12.75" x14ac:dyDescent="0.2">
      <c r="A1411" s="1"/>
      <c r="B1411" s="4"/>
      <c r="C1411" s="4"/>
      <c r="D1411" s="1"/>
    </row>
    <row r="1412" spans="1:4" ht="12.75" x14ac:dyDescent="0.2">
      <c r="A1412" s="1"/>
      <c r="B1412" s="4"/>
      <c r="C1412" s="4"/>
      <c r="D1412" s="1"/>
    </row>
    <row r="1413" spans="1:4" ht="12.75" x14ac:dyDescent="0.2">
      <c r="A1413" s="1"/>
      <c r="B1413" s="4"/>
      <c r="C1413" s="4"/>
      <c r="D1413" s="1"/>
    </row>
    <row r="1414" spans="1:4" ht="12.75" x14ac:dyDescent="0.2">
      <c r="A1414" s="1"/>
      <c r="B1414" s="4"/>
      <c r="C1414" s="4"/>
      <c r="D1414" s="1"/>
    </row>
    <row r="1415" spans="1:4" ht="12.75" x14ac:dyDescent="0.2">
      <c r="A1415" s="1"/>
      <c r="B1415" s="4"/>
      <c r="C1415" s="4"/>
      <c r="D1415" s="1"/>
    </row>
    <row r="1416" spans="1:4" ht="12.75" x14ac:dyDescent="0.2">
      <c r="A1416" s="1"/>
      <c r="B1416" s="4"/>
      <c r="C1416" s="4"/>
      <c r="D1416" s="1"/>
    </row>
    <row r="1417" spans="1:4" ht="12.75" x14ac:dyDescent="0.2">
      <c r="A1417" s="1"/>
      <c r="B1417" s="4"/>
      <c r="C1417" s="4"/>
      <c r="D1417" s="1"/>
    </row>
    <row r="1418" spans="1:4" ht="12.75" x14ac:dyDescent="0.2">
      <c r="A1418" s="1"/>
      <c r="B1418" s="4"/>
      <c r="C1418" s="4"/>
      <c r="D1418" s="1"/>
    </row>
    <row r="1419" spans="1:4" ht="12.75" x14ac:dyDescent="0.2">
      <c r="A1419" s="1"/>
      <c r="B1419" s="4"/>
      <c r="C1419" s="4"/>
      <c r="D1419" s="1"/>
    </row>
    <row r="1420" spans="1:4" ht="12.75" x14ac:dyDescent="0.2">
      <c r="A1420" s="1"/>
      <c r="B1420" s="4"/>
      <c r="C1420" s="4"/>
      <c r="D1420" s="1"/>
    </row>
    <row r="1421" spans="1:4" ht="12.75" x14ac:dyDescent="0.2">
      <c r="A1421" s="1"/>
      <c r="B1421" s="4"/>
      <c r="C1421" s="4"/>
      <c r="D1421" s="1"/>
    </row>
    <row r="1422" spans="1:4" ht="12.75" x14ac:dyDescent="0.2">
      <c r="A1422" s="1"/>
      <c r="B1422" s="4"/>
      <c r="C1422" s="4"/>
      <c r="D1422" s="1"/>
    </row>
    <row r="1423" spans="1:4" ht="12.75" x14ac:dyDescent="0.2">
      <c r="A1423" s="1"/>
      <c r="B1423" s="4"/>
      <c r="C1423" s="4"/>
      <c r="D1423" s="1"/>
    </row>
    <row r="1424" spans="1:4" ht="12.75" x14ac:dyDescent="0.2">
      <c r="A1424" s="1"/>
      <c r="B1424" s="4"/>
      <c r="C1424" s="4"/>
      <c r="D1424" s="1"/>
    </row>
    <row r="1425" spans="1:4" ht="12.75" x14ac:dyDescent="0.2">
      <c r="A1425" s="1"/>
      <c r="B1425" s="4"/>
      <c r="C1425" s="4"/>
      <c r="D1425" s="1"/>
    </row>
    <row r="1426" spans="1:4" ht="12.75" x14ac:dyDescent="0.2">
      <c r="A1426" s="1"/>
      <c r="B1426" s="4"/>
      <c r="C1426" s="4"/>
      <c r="D1426" s="1"/>
    </row>
    <row r="1427" spans="1:4" ht="12.75" x14ac:dyDescent="0.2">
      <c r="A1427" s="1"/>
      <c r="B1427" s="4"/>
      <c r="C1427" s="4"/>
      <c r="D1427" s="1"/>
    </row>
    <row r="1428" spans="1:4" ht="12.75" x14ac:dyDescent="0.2">
      <c r="A1428" s="1"/>
      <c r="B1428" s="4"/>
      <c r="C1428" s="4"/>
      <c r="D1428" s="1"/>
    </row>
    <row r="1429" spans="1:4" ht="12.75" x14ac:dyDescent="0.2">
      <c r="A1429" s="1"/>
      <c r="B1429" s="4"/>
      <c r="C1429" s="4"/>
      <c r="D1429" s="1"/>
    </row>
    <row r="1430" spans="1:4" ht="12.75" x14ac:dyDescent="0.2">
      <c r="A1430" s="1"/>
      <c r="B1430" s="4"/>
      <c r="C1430" s="4"/>
      <c r="D1430" s="1"/>
    </row>
    <row r="1431" spans="1:4" ht="12.75" x14ac:dyDescent="0.2">
      <c r="A1431" s="1"/>
      <c r="B1431" s="4"/>
      <c r="C1431" s="4"/>
      <c r="D1431" s="1"/>
    </row>
    <row r="1432" spans="1:4" ht="12.75" x14ac:dyDescent="0.2">
      <c r="A1432" s="1"/>
      <c r="B1432" s="4"/>
      <c r="C1432" s="4"/>
      <c r="D1432" s="1"/>
    </row>
    <row r="1433" spans="1:4" ht="12.75" x14ac:dyDescent="0.2">
      <c r="A1433" s="1"/>
      <c r="B1433" s="4"/>
      <c r="C1433" s="4"/>
      <c r="D1433" s="1"/>
    </row>
    <row r="1434" spans="1:4" ht="12.75" x14ac:dyDescent="0.2">
      <c r="A1434" s="1"/>
      <c r="B1434" s="4"/>
      <c r="C1434" s="4"/>
      <c r="D1434" s="1"/>
    </row>
    <row r="1435" spans="1:4" ht="12.75" x14ac:dyDescent="0.2">
      <c r="A1435" s="1"/>
      <c r="B1435" s="4"/>
      <c r="C1435" s="4"/>
      <c r="D1435" s="1"/>
    </row>
    <row r="1436" spans="1:4" ht="12.75" x14ac:dyDescent="0.2">
      <c r="A1436" s="1"/>
      <c r="B1436" s="4"/>
      <c r="C1436" s="4"/>
      <c r="D1436" s="1"/>
    </row>
    <row r="1437" spans="1:4" ht="12.75" x14ac:dyDescent="0.2">
      <c r="A1437" s="1"/>
      <c r="B1437" s="4"/>
      <c r="C1437" s="4"/>
      <c r="D1437" s="1"/>
    </row>
    <row r="1438" spans="1:4" ht="12.75" x14ac:dyDescent="0.2">
      <c r="A1438" s="1"/>
      <c r="B1438" s="4"/>
      <c r="C1438" s="4"/>
      <c r="D1438" s="1"/>
    </row>
    <row r="1439" spans="1:4" ht="12.75" x14ac:dyDescent="0.2">
      <c r="A1439" s="1"/>
      <c r="B1439" s="4"/>
      <c r="C1439" s="4"/>
      <c r="D1439" s="1"/>
    </row>
    <row r="1440" spans="1:4" ht="12.75" x14ac:dyDescent="0.2">
      <c r="A1440" s="1"/>
      <c r="B1440" s="4"/>
      <c r="C1440" s="4"/>
      <c r="D1440" s="1"/>
    </row>
    <row r="1441" spans="1:4" ht="12.75" x14ac:dyDescent="0.2">
      <c r="A1441" s="1"/>
      <c r="B1441" s="4"/>
      <c r="C1441" s="4"/>
      <c r="D1441" s="1"/>
    </row>
    <row r="1442" spans="1:4" ht="12.75" x14ac:dyDescent="0.2">
      <c r="A1442" s="1"/>
      <c r="B1442" s="4"/>
      <c r="C1442" s="4"/>
      <c r="D1442" s="1"/>
    </row>
    <row r="1443" spans="1:4" ht="12.75" x14ac:dyDescent="0.2">
      <c r="A1443" s="1"/>
      <c r="B1443" s="4"/>
      <c r="C1443" s="4"/>
      <c r="D1443" s="1"/>
    </row>
    <row r="1444" spans="1:4" ht="12.75" x14ac:dyDescent="0.2">
      <c r="A1444" s="1"/>
      <c r="B1444" s="4"/>
      <c r="C1444" s="4"/>
      <c r="D1444" s="1"/>
    </row>
    <row r="1445" spans="1:4" ht="12.75" x14ac:dyDescent="0.2">
      <c r="A1445" s="1"/>
      <c r="B1445" s="4"/>
      <c r="C1445" s="4"/>
      <c r="D1445" s="1"/>
    </row>
    <row r="1446" spans="1:4" ht="12.75" x14ac:dyDescent="0.2">
      <c r="A1446" s="1"/>
      <c r="B1446" s="4"/>
      <c r="C1446" s="4"/>
      <c r="D1446" s="1"/>
    </row>
    <row r="1447" spans="1:4" ht="12.75" x14ac:dyDescent="0.2">
      <c r="A1447" s="1"/>
      <c r="B1447" s="4"/>
      <c r="C1447" s="4"/>
      <c r="D1447" s="1"/>
    </row>
    <row r="1448" spans="1:4" ht="12.75" x14ac:dyDescent="0.2">
      <c r="A1448" s="1"/>
      <c r="B1448" s="4"/>
      <c r="C1448" s="4"/>
      <c r="D1448" s="1"/>
    </row>
    <row r="1449" spans="1:4" ht="12.75" x14ac:dyDescent="0.2">
      <c r="A1449" s="1"/>
      <c r="B1449" s="4"/>
      <c r="C1449" s="4"/>
      <c r="D1449" s="1"/>
    </row>
    <row r="1450" spans="1:4" ht="12.75" x14ac:dyDescent="0.2">
      <c r="A1450" s="1"/>
      <c r="B1450" s="4"/>
      <c r="C1450" s="4"/>
      <c r="D1450" s="1"/>
    </row>
    <row r="1451" spans="1:4" ht="12.75" x14ac:dyDescent="0.2">
      <c r="A1451" s="1"/>
      <c r="B1451" s="4"/>
      <c r="C1451" s="4"/>
      <c r="D1451" s="1"/>
    </row>
    <row r="1452" spans="1:4" ht="12.75" x14ac:dyDescent="0.2">
      <c r="A1452" s="1"/>
      <c r="B1452" s="4"/>
      <c r="C1452" s="4"/>
      <c r="D1452" s="1"/>
    </row>
    <row r="1453" spans="1:4" ht="12.75" x14ac:dyDescent="0.2">
      <c r="A1453" s="1"/>
      <c r="B1453" s="4"/>
      <c r="C1453" s="4"/>
      <c r="D1453" s="1"/>
    </row>
    <row r="1454" spans="1:4" ht="12.75" x14ac:dyDescent="0.2">
      <c r="A1454" s="1"/>
      <c r="B1454" s="4"/>
      <c r="C1454" s="4"/>
      <c r="D1454" s="1"/>
    </row>
    <row r="1455" spans="1:4" ht="12.75" x14ac:dyDescent="0.2">
      <c r="A1455" s="1"/>
      <c r="B1455" s="4"/>
      <c r="C1455" s="4"/>
      <c r="D1455" s="1"/>
    </row>
    <row r="1456" spans="1:4" ht="12.75" x14ac:dyDescent="0.2">
      <c r="A1456" s="1"/>
      <c r="B1456" s="4"/>
      <c r="C1456" s="4"/>
      <c r="D1456" s="1"/>
    </row>
    <row r="1457" spans="1:4" ht="12.75" x14ac:dyDescent="0.2">
      <c r="A1457" s="1"/>
      <c r="B1457" s="4"/>
      <c r="C1457" s="4"/>
      <c r="D1457" s="1"/>
    </row>
    <row r="1458" spans="1:4" ht="12.75" x14ac:dyDescent="0.2">
      <c r="A1458" s="1"/>
      <c r="B1458" s="4"/>
      <c r="C1458" s="4"/>
      <c r="D1458" s="1"/>
    </row>
    <row r="1459" spans="1:4" ht="12.75" x14ac:dyDescent="0.2">
      <c r="A1459" s="1"/>
      <c r="B1459" s="4"/>
      <c r="C1459" s="4"/>
      <c r="D1459" s="1"/>
    </row>
    <row r="1460" spans="1:4" ht="12.75" x14ac:dyDescent="0.2">
      <c r="A1460" s="1"/>
      <c r="B1460" s="4"/>
      <c r="C1460" s="4"/>
      <c r="D1460" s="1"/>
    </row>
    <row r="1461" spans="1:4" ht="12.75" x14ac:dyDescent="0.2">
      <c r="A1461" s="1"/>
      <c r="B1461" s="4"/>
      <c r="C1461" s="4"/>
      <c r="D1461" s="1"/>
    </row>
    <row r="1462" spans="1:4" ht="12.75" x14ac:dyDescent="0.2">
      <c r="A1462" s="1"/>
      <c r="B1462" s="4"/>
      <c r="C1462" s="4"/>
      <c r="D1462" s="1"/>
    </row>
    <row r="1463" spans="1:4" ht="12.75" x14ac:dyDescent="0.2">
      <c r="A1463" s="1"/>
      <c r="B1463" s="4"/>
      <c r="C1463" s="4"/>
      <c r="D1463" s="1"/>
    </row>
    <row r="1464" spans="1:4" ht="12.75" x14ac:dyDescent="0.2">
      <c r="A1464" s="1"/>
      <c r="B1464" s="4"/>
      <c r="C1464" s="4"/>
      <c r="D1464" s="1"/>
    </row>
    <row r="1465" spans="1:4" ht="12.75" x14ac:dyDescent="0.2">
      <c r="A1465" s="1"/>
      <c r="B1465" s="4"/>
      <c r="C1465" s="4"/>
      <c r="D1465" s="1"/>
    </row>
    <row r="1466" spans="1:4" ht="12.75" x14ac:dyDescent="0.2">
      <c r="A1466" s="1"/>
      <c r="B1466" s="4"/>
      <c r="C1466" s="4"/>
      <c r="D1466" s="1"/>
    </row>
    <row r="1467" spans="1:4" ht="12.75" x14ac:dyDescent="0.2">
      <c r="A1467" s="1"/>
      <c r="B1467" s="4"/>
      <c r="C1467" s="4"/>
      <c r="D1467" s="1"/>
    </row>
    <row r="1468" spans="1:4" ht="12.75" x14ac:dyDescent="0.2">
      <c r="A1468" s="1"/>
      <c r="B1468" s="4"/>
      <c r="C1468" s="4"/>
      <c r="D1468" s="1"/>
    </row>
    <row r="1469" spans="1:4" ht="12.75" x14ac:dyDescent="0.2">
      <c r="A1469" s="1"/>
      <c r="B1469" s="4"/>
      <c r="C1469" s="4"/>
      <c r="D1469" s="1"/>
    </row>
    <row r="1470" spans="1:4" ht="12.75" x14ac:dyDescent="0.2">
      <c r="A1470" s="1"/>
      <c r="B1470" s="4"/>
      <c r="C1470" s="4"/>
      <c r="D1470" s="1"/>
    </row>
    <row r="1471" spans="1:4" ht="12.75" x14ac:dyDescent="0.2">
      <c r="A1471" s="1"/>
      <c r="B1471" s="4"/>
      <c r="C1471" s="4"/>
      <c r="D1471" s="1"/>
    </row>
    <row r="1472" spans="1:4" ht="12.75" x14ac:dyDescent="0.2">
      <c r="A1472" s="1"/>
      <c r="B1472" s="4"/>
      <c r="C1472" s="4"/>
      <c r="D1472" s="1"/>
    </row>
    <row r="1473" spans="1:4" ht="12.75" x14ac:dyDescent="0.2">
      <c r="A1473" s="1"/>
      <c r="B1473" s="4"/>
      <c r="C1473" s="4"/>
      <c r="D1473" s="1"/>
    </row>
    <row r="1474" spans="1:4" ht="12.75" x14ac:dyDescent="0.2">
      <c r="A1474" s="1"/>
      <c r="B1474" s="4"/>
      <c r="C1474" s="4"/>
      <c r="D1474" s="1"/>
    </row>
    <row r="1475" spans="1:4" ht="12.75" x14ac:dyDescent="0.2">
      <c r="A1475" s="1"/>
      <c r="B1475" s="4"/>
      <c r="C1475" s="4"/>
      <c r="D1475" s="1"/>
    </row>
    <row r="1476" spans="1:4" ht="12.75" x14ac:dyDescent="0.2">
      <c r="A1476" s="1"/>
      <c r="B1476" s="4"/>
      <c r="C1476" s="4"/>
      <c r="D1476" s="1"/>
    </row>
    <row r="1477" spans="1:4" ht="12.75" x14ac:dyDescent="0.2">
      <c r="A1477" s="1"/>
      <c r="B1477" s="4"/>
      <c r="C1477" s="4"/>
      <c r="D1477" s="1"/>
    </row>
    <row r="1478" spans="1:4" ht="12.75" x14ac:dyDescent="0.2">
      <c r="A1478" s="1"/>
      <c r="B1478" s="4"/>
      <c r="C1478" s="4"/>
      <c r="D1478" s="1"/>
    </row>
    <row r="1479" spans="1:4" ht="12.75" x14ac:dyDescent="0.2">
      <c r="A1479" s="1"/>
      <c r="B1479" s="4"/>
      <c r="C1479" s="4"/>
      <c r="D1479" s="1"/>
    </row>
    <row r="1480" spans="1:4" ht="12.75" x14ac:dyDescent="0.2">
      <c r="A1480" s="1"/>
      <c r="B1480" s="4"/>
      <c r="C1480" s="4"/>
      <c r="D1480" s="1"/>
    </row>
    <row r="1481" spans="1:4" ht="12.75" x14ac:dyDescent="0.2">
      <c r="A1481" s="1"/>
      <c r="B1481" s="4"/>
      <c r="C1481" s="4"/>
      <c r="D1481" s="1"/>
    </row>
    <row r="1482" spans="1:4" ht="12.75" x14ac:dyDescent="0.2">
      <c r="A1482" s="1"/>
      <c r="B1482" s="4"/>
      <c r="C1482" s="4"/>
      <c r="D1482" s="1"/>
    </row>
    <row r="1483" spans="1:4" ht="12.75" x14ac:dyDescent="0.2">
      <c r="A1483" s="1"/>
      <c r="B1483" s="4"/>
      <c r="C1483" s="4"/>
      <c r="D1483" s="1"/>
    </row>
    <row r="1484" spans="1:4" ht="12.75" x14ac:dyDescent="0.2">
      <c r="A1484" s="1"/>
      <c r="B1484" s="4"/>
      <c r="C1484" s="4"/>
      <c r="D1484" s="1"/>
    </row>
    <row r="1485" spans="1:4" ht="12.75" x14ac:dyDescent="0.2">
      <c r="A1485" s="1"/>
      <c r="B1485" s="4"/>
      <c r="C1485" s="4"/>
      <c r="D1485" s="1"/>
    </row>
    <row r="1486" spans="1:4" ht="12.75" x14ac:dyDescent="0.2">
      <c r="A1486" s="1"/>
      <c r="B1486" s="4"/>
      <c r="C1486" s="4"/>
      <c r="D1486" s="1"/>
    </row>
    <row r="1487" spans="1:4" ht="12.75" x14ac:dyDescent="0.2">
      <c r="A1487" s="1"/>
      <c r="B1487" s="4"/>
      <c r="C1487" s="4"/>
      <c r="D1487" s="1"/>
    </row>
    <row r="1488" spans="1:4" ht="12.75" x14ac:dyDescent="0.2">
      <c r="A1488" s="1"/>
      <c r="B1488" s="4"/>
      <c r="C1488" s="4"/>
      <c r="D1488" s="1"/>
    </row>
    <row r="1489" spans="1:4" ht="12.75" x14ac:dyDescent="0.2">
      <c r="A1489" s="1"/>
      <c r="B1489" s="4"/>
      <c r="C1489" s="4"/>
      <c r="D1489" s="1"/>
    </row>
    <row r="1490" spans="1:4" ht="12.75" x14ac:dyDescent="0.2">
      <c r="A1490" s="1"/>
      <c r="B1490" s="4"/>
      <c r="C1490" s="4"/>
      <c r="D1490" s="1"/>
    </row>
    <row r="1491" spans="1:4" ht="12.75" x14ac:dyDescent="0.2">
      <c r="A1491" s="1"/>
      <c r="B1491" s="4"/>
      <c r="C1491" s="4"/>
      <c r="D1491" s="1"/>
    </row>
    <row r="1492" spans="1:4" ht="12.75" x14ac:dyDescent="0.2">
      <c r="A1492" s="1"/>
      <c r="B1492" s="4"/>
      <c r="C1492" s="4"/>
      <c r="D1492" s="1"/>
    </row>
    <row r="1493" spans="1:4" ht="12.75" x14ac:dyDescent="0.2">
      <c r="A1493" s="1"/>
      <c r="B1493" s="4"/>
      <c r="C1493" s="4"/>
      <c r="D1493" s="1"/>
    </row>
    <row r="1494" spans="1:4" ht="12.75" x14ac:dyDescent="0.2">
      <c r="A1494" s="1"/>
      <c r="B1494" s="4"/>
      <c r="C1494" s="4"/>
      <c r="D1494" s="1"/>
    </row>
    <row r="1495" spans="1:4" ht="12.75" x14ac:dyDescent="0.2">
      <c r="A1495" s="1"/>
      <c r="B1495" s="4"/>
      <c r="C1495" s="4"/>
      <c r="D1495" s="1"/>
    </row>
    <row r="1496" spans="1:4" ht="12.75" x14ac:dyDescent="0.2">
      <c r="A1496" s="1"/>
      <c r="B1496" s="4"/>
      <c r="C1496" s="4"/>
      <c r="D1496" s="1"/>
    </row>
    <row r="1497" spans="1:4" ht="12.75" x14ac:dyDescent="0.2">
      <c r="A1497" s="1"/>
      <c r="B1497" s="4"/>
      <c r="C1497" s="4"/>
      <c r="D1497" s="1"/>
    </row>
    <row r="1498" spans="1:4" ht="12.75" x14ac:dyDescent="0.2">
      <c r="A1498" s="1"/>
      <c r="B1498" s="4"/>
      <c r="C1498" s="4"/>
      <c r="D1498" s="1"/>
    </row>
    <row r="1499" spans="1:4" ht="12.75" x14ac:dyDescent="0.2">
      <c r="A1499" s="1"/>
      <c r="B1499" s="4"/>
      <c r="C1499" s="4"/>
      <c r="D1499" s="1"/>
    </row>
    <row r="1500" spans="1:4" ht="12.75" x14ac:dyDescent="0.2">
      <c r="A1500" s="1"/>
      <c r="B1500" s="4"/>
      <c r="C1500" s="4"/>
      <c r="D1500" s="1"/>
    </row>
    <row r="1501" spans="1:4" ht="12.75" x14ac:dyDescent="0.2">
      <c r="A1501" s="1"/>
      <c r="B1501" s="4"/>
      <c r="C1501" s="4"/>
      <c r="D1501" s="1"/>
    </row>
    <row r="1502" spans="1:4" ht="12.75" x14ac:dyDescent="0.2">
      <c r="A1502" s="1"/>
      <c r="B1502" s="4"/>
      <c r="C1502" s="4"/>
      <c r="D1502" s="1"/>
    </row>
    <row r="1503" spans="1:4" ht="12.75" x14ac:dyDescent="0.2">
      <c r="A1503" s="1"/>
      <c r="B1503" s="4"/>
      <c r="C1503" s="4"/>
      <c r="D1503" s="1"/>
    </row>
    <row r="1504" spans="1:4" ht="12.75" x14ac:dyDescent="0.2">
      <c r="A1504" s="1"/>
      <c r="B1504" s="4"/>
      <c r="C1504" s="4"/>
      <c r="D1504" s="1"/>
    </row>
    <row r="1505" spans="1:4" ht="12.75" x14ac:dyDescent="0.2">
      <c r="A1505" s="1"/>
      <c r="B1505" s="4"/>
      <c r="C1505" s="4"/>
      <c r="D1505" s="1"/>
    </row>
    <row r="1506" spans="1:4" ht="12.75" x14ac:dyDescent="0.2">
      <c r="A1506" s="1"/>
      <c r="B1506" s="4"/>
      <c r="C1506" s="4"/>
      <c r="D1506" s="1"/>
    </row>
    <row r="1507" spans="1:4" ht="12.75" x14ac:dyDescent="0.2">
      <c r="A1507" s="1"/>
      <c r="B1507" s="4"/>
      <c r="C1507" s="4"/>
      <c r="D1507" s="1"/>
    </row>
    <row r="1508" spans="1:4" ht="12.75" x14ac:dyDescent="0.2">
      <c r="A1508" s="1"/>
      <c r="B1508" s="4"/>
      <c r="C1508" s="4"/>
      <c r="D1508" s="1"/>
    </row>
    <row r="1509" spans="1:4" ht="12.75" x14ac:dyDescent="0.2">
      <c r="A1509" s="1"/>
      <c r="B1509" s="4"/>
      <c r="C1509" s="4"/>
      <c r="D1509" s="1"/>
    </row>
    <row r="1510" spans="1:4" ht="12.75" x14ac:dyDescent="0.2">
      <c r="A1510" s="1"/>
      <c r="B1510" s="4"/>
      <c r="C1510" s="4"/>
      <c r="D1510" s="1"/>
    </row>
    <row r="1511" spans="1:4" ht="12.75" x14ac:dyDescent="0.2">
      <c r="A1511" s="1"/>
      <c r="B1511" s="4"/>
      <c r="C1511" s="4"/>
      <c r="D1511" s="1"/>
    </row>
    <row r="1512" spans="1:4" ht="12.75" x14ac:dyDescent="0.2">
      <c r="A1512" s="1"/>
      <c r="B1512" s="4"/>
      <c r="C1512" s="4"/>
      <c r="D1512" s="1"/>
    </row>
    <row r="1513" spans="1:4" ht="12.75" x14ac:dyDescent="0.2">
      <c r="A1513" s="1"/>
      <c r="B1513" s="4"/>
      <c r="C1513" s="4"/>
      <c r="D1513" s="1"/>
    </row>
    <row r="1514" spans="1:4" ht="12.75" x14ac:dyDescent="0.2">
      <c r="A1514" s="1"/>
      <c r="B1514" s="4"/>
      <c r="C1514" s="4"/>
      <c r="D1514" s="1"/>
    </row>
    <row r="1515" spans="1:4" ht="12.75" x14ac:dyDescent="0.2">
      <c r="A1515" s="1"/>
      <c r="B1515" s="4"/>
      <c r="C1515" s="4"/>
      <c r="D1515" s="1"/>
    </row>
    <row r="1516" spans="1:4" ht="12.75" x14ac:dyDescent="0.2">
      <c r="A1516" s="1"/>
      <c r="B1516" s="4"/>
      <c r="C1516" s="4"/>
      <c r="D1516" s="1"/>
    </row>
    <row r="1517" spans="1:4" ht="12.75" x14ac:dyDescent="0.2">
      <c r="A1517" s="1"/>
      <c r="B1517" s="4"/>
      <c r="C1517" s="4"/>
      <c r="D1517" s="1"/>
    </row>
    <row r="1518" spans="1:4" ht="12.75" x14ac:dyDescent="0.2">
      <c r="A1518" s="1"/>
      <c r="B1518" s="4"/>
      <c r="C1518" s="4"/>
      <c r="D1518" s="1"/>
    </row>
    <row r="1519" spans="1:4" ht="12.75" x14ac:dyDescent="0.2">
      <c r="A1519" s="1"/>
      <c r="B1519" s="4"/>
      <c r="C1519" s="4"/>
      <c r="D1519" s="1"/>
    </row>
    <row r="1520" spans="1:4" ht="12.75" x14ac:dyDescent="0.2">
      <c r="A1520" s="1"/>
      <c r="B1520" s="4"/>
      <c r="C1520" s="4"/>
      <c r="D1520" s="1"/>
    </row>
    <row r="1521" spans="1:4" ht="12.75" x14ac:dyDescent="0.2">
      <c r="A1521" s="1"/>
      <c r="B1521" s="4"/>
      <c r="C1521" s="4"/>
      <c r="D1521" s="1"/>
    </row>
    <row r="1522" spans="1:4" ht="12.75" x14ac:dyDescent="0.2">
      <c r="A1522" s="1"/>
      <c r="B1522" s="4"/>
      <c r="C1522" s="4"/>
      <c r="D1522" s="1"/>
    </row>
    <row r="1523" spans="1:4" ht="12.75" x14ac:dyDescent="0.2">
      <c r="A1523" s="1"/>
      <c r="B1523" s="4"/>
      <c r="C1523" s="4"/>
      <c r="D1523" s="1"/>
    </row>
    <row r="1524" spans="1:4" ht="12.75" x14ac:dyDescent="0.2">
      <c r="A1524" s="1"/>
      <c r="B1524" s="4"/>
      <c r="C1524" s="4"/>
      <c r="D1524" s="1"/>
    </row>
    <row r="1525" spans="1:4" ht="12.75" x14ac:dyDescent="0.2">
      <c r="A1525" s="1"/>
      <c r="B1525" s="4"/>
      <c r="C1525" s="4"/>
      <c r="D1525" s="1"/>
    </row>
    <row r="1526" spans="1:4" ht="12.75" x14ac:dyDescent="0.2">
      <c r="A1526" s="1"/>
      <c r="B1526" s="4"/>
      <c r="C1526" s="4"/>
      <c r="D1526" s="1"/>
    </row>
    <row r="1527" spans="1:4" ht="12.75" x14ac:dyDescent="0.2">
      <c r="A1527" s="1"/>
      <c r="B1527" s="4"/>
      <c r="C1527" s="4"/>
      <c r="D1527" s="1"/>
    </row>
    <row r="1528" spans="1:4" ht="12.75" x14ac:dyDescent="0.2">
      <c r="A1528" s="1"/>
      <c r="B1528" s="4"/>
      <c r="C1528" s="4"/>
      <c r="D1528" s="1"/>
    </row>
    <row r="1529" spans="1:4" ht="12.75" x14ac:dyDescent="0.2">
      <c r="A1529" s="1"/>
      <c r="B1529" s="4"/>
      <c r="C1529" s="4"/>
      <c r="D1529" s="1"/>
    </row>
    <row r="1530" spans="1:4" ht="12.75" x14ac:dyDescent="0.2">
      <c r="A1530" s="1"/>
      <c r="B1530" s="4"/>
      <c r="C1530" s="4"/>
      <c r="D1530" s="1"/>
    </row>
    <row r="1531" spans="1:4" ht="12.75" x14ac:dyDescent="0.2">
      <c r="A1531" s="1"/>
      <c r="B1531" s="4"/>
      <c r="C1531" s="4"/>
      <c r="D1531" s="1"/>
    </row>
    <row r="1532" spans="1:4" ht="12.75" x14ac:dyDescent="0.2">
      <c r="A1532" s="1"/>
      <c r="B1532" s="4"/>
      <c r="C1532" s="4"/>
      <c r="D1532" s="1"/>
    </row>
    <row r="1533" spans="1:4" ht="12.75" x14ac:dyDescent="0.2">
      <c r="A1533" s="1"/>
      <c r="B1533" s="4"/>
      <c r="C1533" s="4"/>
      <c r="D1533" s="1"/>
    </row>
    <row r="1534" spans="1:4" ht="12.75" x14ac:dyDescent="0.2">
      <c r="A1534" s="1"/>
      <c r="B1534" s="4"/>
      <c r="C1534" s="4"/>
      <c r="D1534" s="1"/>
    </row>
    <row r="1535" spans="1:4" ht="12.75" x14ac:dyDescent="0.2">
      <c r="A1535" s="1"/>
      <c r="B1535" s="4"/>
      <c r="C1535" s="4"/>
      <c r="D1535" s="1"/>
    </row>
    <row r="1536" spans="1:4" ht="12.75" x14ac:dyDescent="0.2">
      <c r="A1536" s="1"/>
      <c r="B1536" s="4"/>
      <c r="C1536" s="4"/>
      <c r="D1536" s="1"/>
    </row>
    <row r="1537" spans="1:4" ht="12.75" x14ac:dyDescent="0.2">
      <c r="A1537" s="1"/>
      <c r="B1537" s="4"/>
      <c r="C1537" s="4"/>
      <c r="D1537" s="1"/>
    </row>
    <row r="1538" spans="1:4" ht="12.75" x14ac:dyDescent="0.2">
      <c r="A1538" s="1"/>
      <c r="B1538" s="4"/>
      <c r="C1538" s="4"/>
      <c r="D1538" s="1"/>
    </row>
    <row r="1539" spans="1:4" ht="12.75" x14ac:dyDescent="0.2">
      <c r="A1539" s="1"/>
      <c r="B1539" s="4"/>
      <c r="C1539" s="4"/>
      <c r="D1539" s="1"/>
    </row>
    <row r="1540" spans="1:4" ht="12.75" x14ac:dyDescent="0.2">
      <c r="A1540" s="1"/>
      <c r="B1540" s="4"/>
      <c r="C1540" s="4"/>
      <c r="D1540" s="1"/>
    </row>
    <row r="1541" spans="1:4" ht="12.75" x14ac:dyDescent="0.2">
      <c r="A1541" s="1"/>
      <c r="B1541" s="4"/>
      <c r="C1541" s="4"/>
      <c r="D1541" s="1"/>
    </row>
    <row r="1542" spans="1:4" ht="12.75" x14ac:dyDescent="0.2">
      <c r="A1542" s="1"/>
      <c r="B1542" s="4"/>
      <c r="C1542" s="4"/>
      <c r="D1542" s="1"/>
    </row>
    <row r="1543" spans="1:4" ht="12.75" x14ac:dyDescent="0.2">
      <c r="A1543" s="1"/>
      <c r="B1543" s="4"/>
      <c r="C1543" s="4"/>
      <c r="D1543" s="1"/>
    </row>
    <row r="1544" spans="1:4" ht="12.75" x14ac:dyDescent="0.2">
      <c r="A1544" s="1"/>
      <c r="B1544" s="4"/>
      <c r="C1544" s="4"/>
      <c r="D1544" s="1"/>
    </row>
    <row r="1545" spans="1:4" ht="12.75" x14ac:dyDescent="0.2">
      <c r="A1545" s="1"/>
      <c r="B1545" s="4"/>
      <c r="C1545" s="4"/>
      <c r="D1545" s="1"/>
    </row>
    <row r="1546" spans="1:4" ht="12.75" x14ac:dyDescent="0.2">
      <c r="A1546" s="1"/>
      <c r="B1546" s="4"/>
      <c r="C1546" s="4"/>
      <c r="D1546" s="1"/>
    </row>
    <row r="1547" spans="1:4" ht="12.75" x14ac:dyDescent="0.2">
      <c r="A1547" s="1"/>
      <c r="B1547" s="4"/>
      <c r="C1547" s="4"/>
      <c r="D1547" s="1"/>
    </row>
    <row r="1548" spans="1:4" ht="12.75" x14ac:dyDescent="0.2">
      <c r="A1548" s="1"/>
      <c r="B1548" s="4"/>
      <c r="C1548" s="4"/>
      <c r="D1548" s="1"/>
    </row>
    <row r="1549" spans="1:4" ht="12.75" x14ac:dyDescent="0.2">
      <c r="A1549" s="1"/>
      <c r="B1549" s="4"/>
      <c r="C1549" s="4"/>
      <c r="D1549" s="1"/>
    </row>
    <row r="1550" spans="1:4" ht="12.75" x14ac:dyDescent="0.2">
      <c r="A1550" s="1"/>
      <c r="B1550" s="4"/>
      <c r="C1550" s="4"/>
      <c r="D1550" s="1"/>
    </row>
    <row r="1551" spans="1:4" ht="12.75" x14ac:dyDescent="0.2">
      <c r="A1551" s="1"/>
      <c r="B1551" s="4"/>
      <c r="C1551" s="4"/>
      <c r="D1551" s="1"/>
    </row>
    <row r="1552" spans="1:4" ht="12.75" x14ac:dyDescent="0.2">
      <c r="A1552" s="1"/>
      <c r="B1552" s="4"/>
      <c r="C1552" s="4"/>
      <c r="D1552" s="1"/>
    </row>
    <row r="1553" spans="1:4" ht="12.75" x14ac:dyDescent="0.2">
      <c r="A1553" s="1"/>
      <c r="B1553" s="4"/>
      <c r="C1553" s="4"/>
      <c r="D1553" s="1"/>
    </row>
    <row r="1554" spans="1:4" ht="12.75" x14ac:dyDescent="0.2">
      <c r="A1554" s="1"/>
      <c r="B1554" s="4"/>
      <c r="C1554" s="4"/>
      <c r="D1554" s="1"/>
    </row>
    <row r="1555" spans="1:4" ht="12.75" x14ac:dyDescent="0.2">
      <c r="A1555" s="1"/>
      <c r="B1555" s="4"/>
      <c r="C1555" s="4"/>
      <c r="D1555" s="1"/>
    </row>
    <row r="1556" spans="1:4" ht="12.75" x14ac:dyDescent="0.2">
      <c r="A1556" s="1"/>
      <c r="B1556" s="4"/>
      <c r="C1556" s="4"/>
      <c r="D1556" s="1"/>
    </row>
    <row r="1557" spans="1:4" ht="12.75" x14ac:dyDescent="0.2">
      <c r="A1557" s="1"/>
      <c r="B1557" s="4"/>
      <c r="C1557" s="4"/>
      <c r="D1557" s="1"/>
    </row>
    <row r="1558" spans="1:4" ht="12.75" x14ac:dyDescent="0.2">
      <c r="A1558" s="1"/>
      <c r="B1558" s="4"/>
      <c r="C1558" s="4"/>
      <c r="D1558" s="1"/>
    </row>
    <row r="1559" spans="1:4" ht="12.75" x14ac:dyDescent="0.2">
      <c r="A1559" s="1"/>
      <c r="B1559" s="4"/>
      <c r="C1559" s="4"/>
      <c r="D1559" s="1"/>
    </row>
    <row r="1560" spans="1:4" ht="12.75" x14ac:dyDescent="0.2">
      <c r="A1560" s="1"/>
      <c r="B1560" s="4"/>
      <c r="C1560" s="4"/>
      <c r="D1560" s="1"/>
    </row>
    <row r="1561" spans="1:4" ht="12.75" x14ac:dyDescent="0.2">
      <c r="A1561" s="1"/>
      <c r="B1561" s="4"/>
      <c r="C1561" s="4"/>
      <c r="D1561" s="1"/>
    </row>
  </sheetData>
  <hyperlinks>
    <hyperlink ref="D22" r:id="rId1" display="http://alibaba.com/" xr:uid="{00000000-0004-0000-0100-000000000000}"/>
    <hyperlink ref="D526" r:id="rId2" display="https://drive.google.com/file/d/1cnkpegqA9XwV-V07xrNuPf-xEaZdw7Cs/view?usp=sharing" xr:uid="{00000000-0004-0000-0100-000001000000}"/>
    <hyperlink ref="D527" r:id="rId3" display="https://docs.google.com/spreadsheets/d/1hrIbAQBFq0Up_tGqX7AvyVuwUQH7_tb-X7OhFVMK9Dw/edit?usp=sharing" xr:uid="{00000000-0004-0000-0100-000002000000}"/>
    <hyperlink ref="D561" r:id="rId4" display="https://dasreda.ru/learn/courses/start-biznesa-s-0-do-300-000-poshagovyj-algoritm-dejstvij" xr:uid="{00000000-0004-0000-0100-000003000000}"/>
    <hyperlink ref="D563" r:id="rId5" display="https://dasreda.ru/learn/courses/finansovaya-gramotnost-v-biznese/lessons/chto-takoe-unit-ekonomika-i-kak-eyo-poschitat" xr:uid="{00000000-0004-0000-0100-000004000000}"/>
    <hyperlink ref="D564" r:id="rId6" display="https://dasreda.ru/learn/courses/strategiya-privlecheniya-klientov-onlajn-i-offlajn/lessons/sekrety-privlecheniya-klientov-onlajn-i-offlajn" xr:uid="{00000000-0004-0000-0100-000005000000}"/>
    <hyperlink ref="D565" r:id="rId7" display="https://dasreda.ru/learn/courses/socialnoe-predprinimatelstvo-ot-idei-do-pribyli1" xr:uid="{00000000-0004-0000-0100-000006000000}"/>
    <hyperlink ref="D566" r:id="rId8" display="https://drive.google.com/file/d/1cnkpegqA9XwV-V07xrNuPf-xEaZdw7Cs/view?usp=sharing" xr:uid="{00000000-0004-0000-0100-000007000000}"/>
    <hyperlink ref="D569" r:id="rId9" display="https://drive.google.com/file/d/1cnkpegqA9XwV-V07xrNuPf-xEaZdw7Cs/view?usp=sharing" xr:uid="{00000000-0004-0000-0100-000008000000}"/>
    <hyperlink ref="D570" r:id="rId10" display="https://drive.google.com/file/d/1cnkpegqA9XwV-V07xrNuPf-xEaZdw7Cs/view?usp=sharing" xr:uid="{00000000-0004-0000-0100-000009000000}"/>
    <hyperlink ref="D578" r:id="rId11" display="https://dasreda.ru/learn/courses/vebinar-10-urokov-kak-sozdat-i-uderzhat-komandu/lessons/10-urokov-kak-sozdat-i-uderzhat-komandu" xr:uid="{00000000-0004-0000-0100-00000A000000}"/>
    <hyperlink ref="D579" r:id="rId12" display="https://dasreda.ru/learn/courses/vebinar-tri-kita-millionera-fokus-skorost-motivaciya" xr:uid="{00000000-0004-0000-0100-00000B000000}"/>
    <hyperlink ref="D640" r:id="rId13" display="https://dasreda.ru/learn/blog/article/195" xr:uid="{00000000-0004-0000-0100-00000C000000}"/>
    <hyperlink ref="D641" r:id="rId14" display="https://drive.google.com/file/d/10mnww4HehA2tLvgeR1TKcIIni6jN1d6H/view?usp=sharing" xr:uid="{00000000-0004-0000-0100-00000D000000}"/>
    <hyperlink ref="C775" r:id="rId15" display="http://dasreda.ru/" xr:uid="{00000000-0004-0000-0100-00000E000000}"/>
    <hyperlink ref="C790" r:id="rId16" display="http://dasreda.ru/" xr:uid="{00000000-0004-0000-0100-00000F000000}"/>
    <hyperlink ref="C791" r:id="rId17" display="http://dasreda.ru/" xr:uid="{00000000-0004-0000-0100-000010000000}"/>
    <hyperlink ref="C792" r:id="rId18" display="http://dasreda.ru/" xr:uid="{00000000-0004-0000-0100-000011000000}"/>
    <hyperlink ref="C793" r:id="rId19" display="http://dasreda.ru/" xr:uid="{00000000-0004-0000-0100-000012000000}"/>
    <hyperlink ref="C795" r:id="rId20" display="http://dasreda.ru/" xr:uid="{00000000-0004-0000-0100-000013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1000"/>
  <sheetViews>
    <sheetView topLeftCell="B1" workbookViewId="0"/>
  </sheetViews>
  <sheetFormatPr defaultColWidth="14.42578125" defaultRowHeight="15.75" customHeight="1" x14ac:dyDescent="0.2"/>
  <cols>
    <col min="1" max="1" width="31.140625" hidden="1" customWidth="1"/>
    <col min="2" max="2" width="31.140625" customWidth="1"/>
    <col min="3" max="3" width="95.28515625" customWidth="1"/>
  </cols>
  <sheetData>
    <row r="1" spans="1:3" ht="15.75" customHeight="1" x14ac:dyDescent="0.2">
      <c r="A1" s="1" t="str">
        <f ca="1">IFERROR(__xludf.DUMMYFUNCTION("IMPORTRANGE(""https://docs.google.com/spreadsheets/d/1nXXlklq1U8a49v8schCvhqGhYiNEuQxwRBhof25GuxE/edit?usp=sharing"",""'РЕЕСТР СПИКЕРОВ'!a1:c"")"),"")</f>
        <v/>
      </c>
      <c r="B1" s="2" t="str">
        <f ca="1">IFERROR(__xludf.DUMMYFUNCTION("""COMPUTED_VALUE"""),"Спикер")</f>
        <v>Спикер</v>
      </c>
      <c r="C1" s="7" t="str">
        <f ca="1">IFERROR(__xludf.DUMMYFUNCTION("""COMPUTED_VALUE"""),"Описание спикеров
- от 4 до 6 тезисов (До 360 симовлов)
- Каждый тезис с новой строки через -
- Каждый тезис должен быть не очень длинный (до 60 символов)")</f>
        <v>Описание спикеров
- от 4 до 6 тезисов (До 360 симовлов)
- Каждый тезис с новой строки через -
- Каждый тезис должен быть не очень длинный (до 60 символов)</v>
      </c>
    </row>
    <row r="2" spans="1:3" ht="15.75" customHeight="1" x14ac:dyDescent="0.2">
      <c r="A2" s="1"/>
      <c r="B2" s="8" t="str">
        <f ca="1">IFERROR(__xludf.DUMMYFUNCTION("""COMPUTED_VALUE""")," Айнур Зиннатуллин")</f>
        <v xml:space="preserve"> Айнур Зиннатуллин</v>
      </c>
      <c r="C2" s="1" t="str">
        <f ca="1">IFERROR(__xludf.DUMMYFUNCTION("""COMPUTED_VALUE"""),"- 5 лет в консалтинговом бизнесе: 100+ брендов, доверивших свои публичные коммуникации
- Более 55 млн. привлечённых инвестиций в свой бизнес и региональные бюджеты в результате успешной презентации проектов
- Обладатель премии ТЭФИ, автор книг «Таблетка о"&amp;"т страха», «Тебе мешает только страх»
- Half Ironman, selfmade эксперт — превратил себя из заики в тренера предпринимателей по публичным выступлениям")</f>
        <v>- 5 лет в консалтинговом бизнесе: 100+ брендов, доверивших свои публичные коммуникации
- Более 55 млн. привлечённых инвестиций в свой бизнес и региональные бюджеты в результате успешной презентации проектов
- Обладатель премии ТЭФИ, автор книг «Таблетка от страха», «Тебе мешает только страх»
- Half Ironman, selfmade эксперт — превратил себя из заики в тренера предпринимателей по публичным выступлениям</v>
      </c>
    </row>
    <row r="3" spans="1:3" ht="15.75" customHeight="1" x14ac:dyDescent="0.2">
      <c r="A3" s="1"/>
      <c r="B3" s="8" t="str">
        <f ca="1">IFERROR(__xludf.DUMMYFUNCTION("""COMPUTED_VALUE""")," Александр Яковлев")</f>
        <v xml:space="preserve"> Александр Яковлев</v>
      </c>
      <c r="C3" s="1" t="str">
        <f ca="1">IFERROR(__xludf.DUMMYFUNCTION("""COMPUTED_VALUE"""),"- Предприниматель-совладелец сети спортивных клубов единоборств
- Соучредитель Федерации ММА Курганской области созданной с 0 и выросшей до 1400 человек, с действующими Чемпионами Европы
- Спикер-практик, обучивший свыше 5000 человек в 73 регионах России
"&amp;"- Эксперт по построению системного бизнеса - официальный представитель Международной организации Труда (г.Женева) в России
- Профессиональный коммуникатор - за плечами более 350 успешных сделок, в 20 сферах деятельности. Автор собственной методики перегов"&amp;"оров")</f>
        <v>- Предприниматель-совладелец сети спортивных клубов единоборств
- Соучредитель Федерации ММА Курганской области созданной с 0 и выросшей до 1400 человек, с действующими Чемпионами Европы
- Спикер-практик, обучивший свыше 5000 человек в 73 регионах России
- Эксперт по построению системного бизнеса - официальный представитель Международной организации Труда (г.Женева) в России
- Профессиональный коммуникатор - за плечами более 350 успешных сделок, в 20 сферах деятельности. Автор собственной методики переговоров</v>
      </c>
    </row>
    <row r="4" spans="1:3" ht="15.75" customHeight="1" x14ac:dyDescent="0.2">
      <c r="A4" s="1"/>
      <c r="B4" s="8" t="str">
        <f ca="1">IFERROR(__xludf.DUMMYFUNCTION("""COMPUTED_VALUE""")," Алексей Козлов")</f>
        <v xml:space="preserve"> Алексей Козлов</v>
      </c>
      <c r="C4" s="1" t="str">
        <f ca="1">IFERROR(__xludf.DUMMYFUNCTION("""COMPUTED_VALUE"""),"- Управляющий в сети Персона
- Старший преподаватель по сервису
- Владелец кофейни 
- Коуч (сертификат Открытого университета коучей ICU)")</f>
        <v>- Управляющий в сети Персона
- Старший преподаватель по сервису
- Владелец кофейни 
- Коуч (сертификат Открытого университета коучей ICU)</v>
      </c>
    </row>
    <row r="5" spans="1:3" ht="15.75" customHeight="1" x14ac:dyDescent="0.2">
      <c r="A5" s="1"/>
      <c r="B5" s="8" t="str">
        <f ca="1">IFERROR(__xludf.DUMMYFUNCTION("""COMPUTED_VALUE""")," Алексей Родин")</f>
        <v xml:space="preserve"> Алексей Родин</v>
      </c>
      <c r="C5" s="1" t="str">
        <f ca="1">IFERROR(__xludf.DUMMYFUNCTION("""COMPUTED_VALUE"""),"- Финансовый советник Глав семей
- Основатель Агентства семейных финансов «InvestArt advisors» Активы клиентов на сумму 3,5 млрд. рублей 
- Forbes contributor, резидент клуба « Эквиум» 
- Опыт инвестиций на фондовых рынках с 2000 года 
- Партнёр компании "&amp;"«Национальный инвестиционный альянс» 
- Управляющий директор Управляющей компании «ТМ-траст» Управление Закрытыми паевыми инвестиционными фондами ")</f>
        <v xml:space="preserve">- Финансовый советник Глав семей
- Основатель Агентства семейных финансов «InvestArt advisors» Активы клиентов на сумму 3,5 млрд. рублей 
- Forbes contributor, резидент клуба « Эквиум» 
- Опыт инвестиций на фондовых рынках с 2000 года 
- Партнёр компании «Национальный инвестиционный альянс» 
- Управляющий директор Управляющей компании «ТМ-траст» Управление Закрытыми паевыми инвестиционными фондами </v>
      </c>
    </row>
    <row r="6" spans="1:3" ht="15.75" customHeight="1" x14ac:dyDescent="0.2">
      <c r="A6" s="1"/>
      <c r="B6" s="8" t="str">
        <f ca="1">IFERROR(__xludf.DUMMYFUNCTION("""COMPUTED_VALUE""")," Алексей Филиппов")</f>
        <v xml:space="preserve"> Алексей Филиппов</v>
      </c>
      <c r="C6" s="1" t="str">
        <f ca="1">IFERROR(__xludf.DUMMYFUNCTION("""COMPUTED_VALUE"""),"- Сооснователь компании «Human Detector»
- Амбассадор Международного клуба предпринимателей Biztus
- Вице-президент Союза Деловых Людей, прошёл путь от продавца до руководителя филиала (5 магазинов в подчинении)
- Обладатель титула «Почётный спикер MBM.MO"&amp;"S»
- Основал три собственных компании")</f>
        <v>- Сооснователь компании «Human Detector»
- Амбассадор Международного клуба предпринимателей Biztus
- Вице-президент Союза Деловых Людей, прошёл путь от продавца до руководителя филиала (5 магазинов в подчинении)
- Обладатель титула «Почётный спикер MBM.MOS»
- Основал три собственных компании</v>
      </c>
    </row>
    <row r="7" spans="1:3" ht="15.75" customHeight="1" x14ac:dyDescent="0.2">
      <c r="A7" s="1"/>
      <c r="B7" s="8" t="str">
        <f ca="1">IFERROR(__xludf.DUMMYFUNCTION("""COMPUTED_VALUE""")," Алена Бутырина")</f>
        <v xml:space="preserve"> Алена Бутырина</v>
      </c>
      <c r="C7" s="1" t="str">
        <f ca="1">IFERROR(__xludf.DUMMYFUNCTION("""COMPUTED_VALUE"""),"- Онлайн-продюсер. Бизнес-тренер
- Стилист-визажист международного класса, теле- и радиоведущая
- Наставник для мастеров, в бьюти-индустрии более 20-ти лет
- Эксперт по продажам и коммуникации с клиентом, в упаковке услуг и повышении среднего чека")</f>
        <v>- Онлайн-продюсер. Бизнес-тренер
- Стилист-визажист международного класса, теле- и радиоведущая
- Наставник для мастеров, в бьюти-индустрии более 20-ти лет
- Эксперт по продажам и коммуникации с клиентом, в упаковке услуг и повышении среднего чека</v>
      </c>
    </row>
    <row r="8" spans="1:3" ht="15.75" customHeight="1" x14ac:dyDescent="0.2">
      <c r="A8" s="1"/>
      <c r="B8" s="8" t="str">
        <f ca="1">IFERROR(__xludf.DUMMYFUNCTION("""COMPUTED_VALUE""")," Анатолий Коротаев")</f>
        <v xml:space="preserve"> Анатолий Коротаев</v>
      </c>
      <c r="C8" s="1" t="str">
        <f ca="1">IFERROR(__xludf.DUMMYFUNCTION("""COMPUTED_VALUE"""),"- Председатель Сельскохозяйственного снабженческого сбытового перерабатывающего потребительского кооператива второго уровня «Флагман» (Липецкая область)
- Руководитель образовательного проекта «Народная школа кооперации»
- Председатель Липецкого региональ"&amp;"но отделения ОМОО «Российский союз сельской молодёжи» ")</f>
        <v xml:space="preserve">- Председатель Сельскохозяйственного снабженческого сбытового перерабатывающего потребительского кооператива второго уровня «Флагман» (Липецкая область)
- Руководитель образовательного проекта «Народная школа кооперации»
- Председатель Липецкого регионально отделения ОМОО «Российский союз сельской молодёжи» </v>
      </c>
    </row>
    <row r="9" spans="1:3" ht="15.75" customHeight="1" x14ac:dyDescent="0.2">
      <c r="A9" s="1"/>
      <c r="B9" s="8" t="str">
        <f ca="1">IFERROR(__xludf.DUMMYFUNCTION("""COMPUTED_VALUE""")," Анна Руднева")</f>
        <v xml:space="preserve"> Анна Руднева</v>
      </c>
      <c r="C9" s="1" t="str">
        <f ca="1">IFERROR(__xludf.DUMMYFUNCTION("""COMPUTED_VALUE"""),"- Основатель консалтинговой компании «NERA Consult», эксперт-практик по ВЭД с 13-ти летним опытом
- Тренер образовательных курсов по выводу компаний на международные рынки
- Амбассадор 3-х международных выставок в России и СНГ 
- В ноябре 2019 года органи"&amp;"зовала участие в 2-х международных выставках для 15 российских компаний")</f>
        <v>- Основатель консалтинговой компании «NERA Consult», эксперт-практик по ВЭД с 13-ти летним опытом
- Тренер образовательных курсов по выводу компаний на международные рынки
- Амбассадор 3-х международных выставок в России и СНГ 
- В ноябре 2019 года организовала участие в 2-х международных выставках для 15 российских компаний</v>
      </c>
    </row>
    <row r="10" spans="1:3" ht="15.75" customHeight="1" x14ac:dyDescent="0.2">
      <c r="A10" s="1"/>
      <c r="B10" s="8" t="str">
        <f ca="1">IFERROR(__xludf.DUMMYFUNCTION("""COMPUTED_VALUE""")," Анна Чернуха")</f>
        <v xml:space="preserve"> Анна Чернуха</v>
      </c>
      <c r="C10" s="1" t="str">
        <f ca="1">IFERROR(__xludf.DUMMYFUNCTION("""COMPUTED_VALUE"""),"- Журналист и частный PR менеджер, консультант
- Практический опыт в журналистике и связях с общественностью с 2011 г. 
- Учредитель и главный редактор единственного в России байкерского журнала «Свободная Дорога»
- Более 200 публикаций в СМИ. В качестве "&amp;"главного редактора выпустила 18 журналов различной тематики. В том числе и международные издания
- Десятки SMM кейсов для экспертов, личных блогов и бизнеса. Собственная совокупная аудитория в социальных сетях более 40 тыс. подписчиков
- Руководитель соци"&amp;"ального проекта «На дороге все равны»")</f>
        <v>- Журналист и частный PR менеджер, консультант
- Практический опыт в журналистике и связях с общественностью с 2011 г. 
- Учредитель и главный редактор единственного в России байкерского журнала «Свободная Дорога»
- Более 200 публикаций в СМИ. В качестве главного редактора выпустила 18 журналов различной тематики. В том числе и международные издания
- Десятки SMM кейсов для экспертов, личных блогов и бизнеса. Собственная совокупная аудитория в социальных сетях более 40 тыс. подписчиков
- Руководитель социального проекта «На дороге все равны»</v>
      </c>
    </row>
    <row r="11" spans="1:3" ht="15.75" customHeight="1" x14ac:dyDescent="0.2">
      <c r="A11" s="1"/>
      <c r="B11" s="8" t="str">
        <f ca="1">IFERROR(__xludf.DUMMYFUNCTION("""COMPUTED_VALUE""")," Антонина Ланцман")</f>
        <v xml:space="preserve"> Антонина Ланцман</v>
      </c>
      <c r="C11" s="1" t="str">
        <f ca="1">IFERROR(__xludf.DUMMYFUNCTION("""COMPUTED_VALUE"""),"- Генеральный директор и основатель компании «Инсайт Бюро» (консалтинг, организация сообществ и более 50 образовательных мероприятий)
-13-летний банковский стаж на руководящих позициях
- Сертифицированный эксперт по визуальному мышлению, фасилитатор. Канд"&amp;"идат экономических наук
- Автор блога о современных методах обучения @av.bureau, амбассадор движения Lifelong learning")</f>
        <v>- Генеральный директор и основатель компании «Инсайт Бюро» (консалтинг, организация сообществ и более 50 образовательных мероприятий)
-13-летний банковский стаж на руководящих позициях
- Сертифицированный эксперт по визуальному мышлению, фасилитатор. Кандидат экономических наук
- Автор блога о современных методах обучения @av.bureau, амбассадор движения Lifelong learning</v>
      </c>
    </row>
    <row r="12" spans="1:3" ht="15.75" customHeight="1" x14ac:dyDescent="0.2">
      <c r="A12" s="1"/>
      <c r="B12" s="8" t="str">
        <f ca="1">IFERROR(__xludf.DUMMYFUNCTION("""COMPUTED_VALUE""")," Борис Нейман")</f>
        <v xml:space="preserve"> Борис Нейман</v>
      </c>
      <c r="C12" s="1" t="str">
        <f ca="1">IFERROR(__xludf.DUMMYFUNCTION("""COMPUTED_VALUE"""),"- Генеральный директор компании PAL – официального сервисного партнера торговой площадки Alibaba.com в России
- Более 15 лет прикладного опыта в транспортной логистике и ВЭД 
- Более 5 лет опыта по запуску и развитию бизнеса на Alibaba.com
- Владеет практ"&amp;"ическим опытом организации и управления продажами через Alibaba.com, заключения сделок, отправке образцов и коммерческих партий")</f>
        <v>- Генеральный директор компании PAL – официального сервисного партнера торговой площадки Alibaba.com в России
- Более 15 лет прикладного опыта в транспортной логистике и ВЭД 
- Более 5 лет опыта по запуску и развитию бизнеса на Alibaba.com
- Владеет практическим опытом организации и управления продажами через Alibaba.com, заключения сделок, отправке образцов и коммерческих партий</v>
      </c>
    </row>
    <row r="13" spans="1:3" ht="15.75" customHeight="1" x14ac:dyDescent="0.2">
      <c r="A13" s="1"/>
      <c r="B13" s="8" t="str">
        <f ca="1">IFERROR(__xludf.DUMMYFUNCTION("""COMPUTED_VALUE""")," Гуванч Чолиев")</f>
        <v xml:space="preserve"> Гуванч Чолиев</v>
      </c>
      <c r="C13" s="1" t="str">
        <f ca="1">IFERROR(__xludf.DUMMYFUNCTION("""COMPUTED_VALUE"""),"- Основатель сети кальянных клубов ОБНЯЛ (Нижний Новгород) с валовой выручкой более 100 млн. руб.
- Эксперт в StartUp проектах, построении клиентоориентированного сервиса 
- Управляющий партнёр Шереметев Парк Отеля (4 звёзды) 
- Создатель бренд сообщества"&amp;" с аудиторией 15000 участников")</f>
        <v>- Основатель сети кальянных клубов ОБНЯЛ (Нижний Новгород) с валовой выручкой более 100 млн. руб.
- Эксперт в StartUp проектах, построении клиентоориентированного сервиса 
- Управляющий партнёр Шереметев Парк Отеля (4 звёзды) 
- Создатель бренд сообщества с аудиторией 15000 участников</v>
      </c>
    </row>
    <row r="14" spans="1:3" ht="15.75" customHeight="1" x14ac:dyDescent="0.2">
      <c r="A14" s="1"/>
      <c r="B14" s="8" t="str">
        <f ca="1">IFERROR(__xludf.DUMMYFUNCTION("""COMPUTED_VALUE""")," Дарина Дегавцова")</f>
        <v xml:space="preserve"> Дарина Дегавцова</v>
      </c>
      <c r="C14" s="1" t="str">
        <f ca="1">IFERROR(__xludf.DUMMYFUNCTION("""COMPUTED_VALUE"""),"- Сооснователь спорт клуба «CrossBox» с 2014 года. Создала спрос на новый вид тренировок с 0 до 2.000+ клиентов в Камчатском крае
- Победитель Всероссийского конкурса «Молодой предприниматель России» 2019г.
- 4 бизнес-проекта с первого месяца работают с ч"&amp;"истой прибылью
- Средний срок работы сотрудников превышает среднестатистический по отрасли в 6 раз
- Вложения в обучение нового сотрудника 0 рублей и 2 недели")</f>
        <v>- Сооснователь спорт клуба «CrossBox» с 2014 года. Создала спрос на новый вид тренировок с 0 до 2.000+ клиентов в Камчатском крае
- Победитель Всероссийского конкурса «Молодой предприниматель России» 2019г.
- 4 бизнес-проекта с первого месяца работают с чистой прибылью
- Средний срок работы сотрудников превышает среднестатистический по отрасли в 6 раз
- Вложения в обучение нового сотрудника 0 рублей и 2 недели</v>
      </c>
    </row>
    <row r="15" spans="1:3" ht="15.75" customHeight="1" x14ac:dyDescent="0.2">
      <c r="A15" s="1"/>
      <c r="B15" s="8" t="str">
        <f ca="1">IFERROR(__xludf.DUMMYFUNCTION("""COMPUTED_VALUE""")," Дарья Чашкина")</f>
        <v xml:space="preserve"> Дарья Чашкина</v>
      </c>
      <c r="C15" s="1" t="str">
        <f ca="1">IFERROR(__xludf.DUMMYFUNCTION("""COMPUTED_VALUE"""),"- Старший преподаватель Экономического факультета МГУ
- Руководитель Бизнес-инкубатора МГУ
- Более 10 лет опыта работы в программах и конкурсах стартапов. Суммарная экспертиза более 700 проектов и стартапов ")</f>
        <v xml:space="preserve">- Старший преподаватель Экономического факультета МГУ
- Руководитель Бизнес-инкубатора МГУ
- Более 10 лет опыта работы в программах и конкурсах стартапов. Суммарная экспертиза более 700 проектов и стартапов </v>
      </c>
    </row>
    <row r="16" spans="1:3" ht="15.75" customHeight="1" x14ac:dyDescent="0.2">
      <c r="A16" s="1"/>
      <c r="B16" s="8" t="str">
        <f ca="1">IFERROR(__xludf.DUMMYFUNCTION("""COMPUTED_VALUE""")," Дмитрий Ногтев")</f>
        <v xml:space="preserve"> Дмитрий Ногтев</v>
      </c>
      <c r="C16" s="5" t="str">
        <f ca="1">IFERROR(__xludf.DUMMYFUNCTION("""COMPUTED_VALUE"""),"- Директор компании in-events.ru
- Руководитель Владимирского регионального отделения Ассоциации молодых предпринимателей
- Федеральный эксперт Всероссийского конкурса ""Добровольцы России""
- Эксперт федерального агентства по делам молодежи ""Росмолодежь"&amp;"""
- Эксперт по государственным закупкам в сфере услуг по 44-фз и 223-фз")</f>
        <v>- Директор компании in-events.ru
- Руководитель Владимирского регионального отделения Ассоциации молодых предпринимателей
- Федеральный эксперт Всероссийского конкурса "Добровольцы России"
- Эксперт федерального агентства по делам молодежи "Росмолодежь"
- Эксперт по государственным закупкам в сфере услуг по 44-фз и 223-фз</v>
      </c>
    </row>
    <row r="17" spans="1:3" ht="15.75" customHeight="1" x14ac:dyDescent="0.2">
      <c r="A17" s="1"/>
      <c r="B17" s="8" t="str">
        <f ca="1">IFERROR(__xludf.DUMMYFUNCTION("""COMPUTED_VALUE""")," Дмитрий Полетаев")</f>
        <v xml:space="preserve"> Дмитрий Полетаев</v>
      </c>
      <c r="C17" s="1" t="str">
        <f ca="1">IFERROR(__xludf.DUMMYFUNCTION("""COMPUTED_VALUE"""),"- Эксперт в области дизайна презентаций и публичных выступлений 
- 8 лет в подготовке публичных выступлений первых лиц: от замгубернатора до PR-директора миллиардера из первой сотни российского Forbes
- Обучил более 1500 человек. Спикер программ для mbm.m"&amp;"os.ru, РВК, winbd.ru и др.
- Дизайнер презентаций ведущими компаниями нефтегазовой отрасли 
- Подготовил более 100 питчей стартапов. В 2020 году созданные презентации, помогли привлечь инвестиции в проекты на сумму 23 млн. руб.")</f>
        <v>- Эксперт в области дизайна презентаций и публичных выступлений 
- 8 лет в подготовке публичных выступлений первых лиц: от замгубернатора до PR-директора миллиардера из первой сотни российского Forbes
- Обучил более 1500 человек. Спикер программ для mbm.mos.ru, РВК, winbd.ru и др.
- Дизайнер презентаций ведущими компаниями нефтегазовой отрасли 
- Подготовил более 100 питчей стартапов. В 2020 году созданные презентации, помогли привлечь инвестиции в проекты на сумму 23 млн. руб.</v>
      </c>
    </row>
    <row r="18" spans="1:3" ht="15.75" customHeight="1" x14ac:dyDescent="0.2">
      <c r="A18" s="1"/>
      <c r="B18" s="8" t="str">
        <f ca="1">IFERROR(__xludf.DUMMYFUNCTION("""COMPUTED_VALUE""")," Дмитрий Сидый")</f>
        <v xml:space="preserve"> Дмитрий Сидый</v>
      </c>
      <c r="C18" s="1" t="str">
        <f ca="1">IFERROR(__xludf.DUMMYFUNCTION("""COMPUTED_VALUE"""),"- Индивидуальный предприниматель в сфере организации event-мероприяти
- 9 клубов киношколы в Москве 
- Актер театра Вахтангова, 12 лет работы в театре 
- Организатор on-line курсов развития речи
- Сценарист, эксперт в сфере написания сценариев различной н"&amp;"аправленности 
- Педагог программы мэра Московское долголетие
")</f>
        <v xml:space="preserve">- Индивидуальный предприниматель в сфере организации event-мероприяти
- 9 клубов киношколы в Москве 
- Актер театра Вахтангова, 12 лет работы в театре 
- Организатор on-line курсов развития речи
- Сценарист, эксперт в сфере написания сценариев различной направленности 
- Педагог программы мэра Московское долголетие
</v>
      </c>
    </row>
    <row r="19" spans="1:3" ht="12.75" x14ac:dyDescent="0.2">
      <c r="A19" s="1"/>
      <c r="B19" s="8" t="str">
        <f ca="1">IFERROR(__xludf.DUMMYFUNCTION("""COMPUTED_VALUE""")," Дмитрий Шумейко")</f>
        <v xml:space="preserve"> Дмитрий Шумейко</v>
      </c>
      <c r="C19" s="1" t="str">
        <f ca="1">IFERROR(__xludf.DUMMYFUNCTION("""COMPUTED_VALUE"""),"- Владелец группы компаний «Шумейко и Партнеры»
- 15 лет практики в бухгалтерском аудите и налоговом консультировании
- Помог сэкономить более 870 млн. рублей своим клиентам на внедрении способов налоговой оптимизации
- За 15 минут сэкономил 1,2 млн. рубл"&amp;"ей — самая быстрая консультация
- Автор книги «Бухгалтерский аутсорсинг на миллион»")</f>
        <v>- Владелец группы компаний «Шумейко и Партнеры»
- 15 лет практики в бухгалтерском аудите и налоговом консультировании
- Помог сэкономить более 870 млн. рублей своим клиентам на внедрении способов налоговой оптимизации
- За 15 минут сэкономил 1,2 млн. рублей — самая быстрая консультация
- Автор книги «Бухгалтерский аутсорсинг на миллион»</v>
      </c>
    </row>
    <row r="20" spans="1:3" ht="12.75" x14ac:dyDescent="0.2">
      <c r="A20" s="1"/>
      <c r="B20" s="8" t="str">
        <f ca="1">IFERROR(__xludf.DUMMYFUNCTION("""COMPUTED_VALUE""")," Евгений Винников")</f>
        <v xml:space="preserve"> Евгений Винников</v>
      </c>
      <c r="C20" s="1" t="str">
        <f ca="1">IFERROR(__xludf.DUMMYFUNCTION("""COMPUTED_VALUE"""),"- Основатель и художественный руководитель первого образовательного театра «Театр изменений»
- Режиссер-постановщик, драматург
- Импресарио и антрепренер (предприниматель в сфере культуры и образования)
- Профессиональный бизнес-сторителлер и сценатор
- С"&amp;"торификатор")</f>
        <v>- Основатель и художественный руководитель первого образовательного театра «Театр изменений»
- Режиссер-постановщик, драматург
- Импресарио и антрепренер (предприниматель в сфере культуры и образования)
- Профессиональный бизнес-сторителлер и сценатор
- Сторификатор</v>
      </c>
    </row>
    <row r="21" spans="1:3" ht="12.75" x14ac:dyDescent="0.2">
      <c r="A21" s="1"/>
      <c r="B21" s="8" t="str">
        <f ca="1">IFERROR(__xludf.DUMMYFUNCTION("""COMPUTED_VALUE""")," Евгений Ларионов")</f>
        <v xml:space="preserve"> Евгений Ларионов</v>
      </c>
      <c r="C21" s="1" t="str">
        <f ca="1">IFERROR(__xludf.DUMMYFUNCTION("""COMPUTED_VALUE"""),"Основатель крупнейшего в России агентства по оценке коммуникаций Ex Libris, управляющий директор сети мини-кофеен Coffee and the City")</f>
        <v>Основатель крупнейшего в России агентства по оценке коммуникаций Ex Libris, управляющий директор сети мини-кофеен Coffee and the City</v>
      </c>
    </row>
    <row r="22" spans="1:3" ht="12.75" x14ac:dyDescent="0.2">
      <c r="A22" s="1"/>
      <c r="B22" s="8" t="str">
        <f ca="1">IFERROR(__xludf.DUMMYFUNCTION("""COMPUTED_VALUE""")," Евгения Зубова")</f>
        <v xml:space="preserve"> Евгения Зубова</v>
      </c>
      <c r="C22" s="1" t="str">
        <f ca="1">IFERROR(__xludf.DUMMYFUNCTION("""COMPUTED_VALUE"""),"- Предприниматель с 12-летним стажем
- Собственник и руководитель консалтинговой компании «Бизнес финанс груп»
- Сертифицированный Франчайзи 1С «Бухобслуживание»")</f>
        <v>- Предприниматель с 12-летним стажем
- Собственник и руководитель консалтинговой компании «Бизнес финанс груп»
- Сертифицированный Франчайзи 1С «Бухобслуживание»</v>
      </c>
    </row>
    <row r="23" spans="1:3" ht="12.75" x14ac:dyDescent="0.2">
      <c r="A23" s="1"/>
      <c r="B23" s="8" t="str">
        <f ca="1">IFERROR(__xludf.DUMMYFUNCTION("""COMPUTED_VALUE""")," Евгения Нечитайленко")</f>
        <v xml:space="preserve"> Евгения Нечитайленко</v>
      </c>
      <c r="C23" s="1" t="str">
        <f ca="1">IFERROR(__xludf.DUMMYFUNCTION("""COMPUTED_VALUE"""),"- Основатель агентства маркетинговых коммуникаций Prprosto: за 10 лет работы агентства реализовано свыше 200 ресторанных концепций
- В портфеле агентства работа с такими проектами как: сеть бургерных Farш, сеть «Кофемания», ресторан White Rabbit, ресторан"&amp;" Wine&amp;Crab, винный бар Winil, ресторан Twins Garden и др.
- Создатель и ведущий эксперт проекта www.nechitaylenko.school — школа управления талантами
- В гастрономическом PR более 10 лет")</f>
        <v>- Основатель агентства маркетинговых коммуникаций Prprosto: за 10 лет работы агентства реализовано свыше 200 ресторанных концепций
- В портфеле агентства работа с такими проектами как: сеть бургерных Farш, сеть «Кофемания», ресторан White Rabbit, ресторан Wine&amp;Crab, винный бар Winil, ресторан Twins Garden и др.
- Создатель и ведущий эксперт проекта www.nechitaylenko.school — школа управления талантами
- В гастрономическом PR более 10 лет</v>
      </c>
    </row>
    <row r="24" spans="1:3" ht="12.75" x14ac:dyDescent="0.2">
      <c r="A24" s="1"/>
      <c r="B24" s="8" t="str">
        <f ca="1">IFERROR(__xludf.DUMMYFUNCTION("""COMPUTED_VALUE""")," Екатерина Орлова")</f>
        <v xml:space="preserve"> Екатерина Орлова</v>
      </c>
      <c r="C24" s="1" t="str">
        <f ca="1">IFERROR(__xludf.DUMMYFUNCTION("""COMPUTED_VALUE"""),"Директор по продажам телемедицинской компании «Доктис» - лидер рынка телемедицины в России
Руководитель продаж Академии интернет-профессий Марии Солодар – компании №1 в сфере обучения интернет-маркетингу")</f>
        <v>Директор по продажам телемедицинской компании «Доктис» - лидер рынка телемедицины в России
Руководитель продаж Академии интернет-профессий Марии Солодар – компании №1 в сфере обучения интернет-маркетингу</v>
      </c>
    </row>
    <row r="25" spans="1:3" ht="12.75" x14ac:dyDescent="0.2">
      <c r="A25" s="1"/>
      <c r="B25" s="8" t="str">
        <f ca="1">IFERROR(__xludf.DUMMYFUNCTION("""COMPUTED_VALUE""")," Екатерина Шестакова")</f>
        <v xml:space="preserve"> Екатерина Шестакова</v>
      </c>
      <c r="C25" s="1" t="str">
        <f ca="1">IFERROR(__xludf.DUMMYFUNCTION("""COMPUTED_VALUE"""),"- Генеральный директор ООО «Актуальный менеджмент»
- Кандидат юридических наук
- Автор 33 книг по налогообложению и его оптимизации, автор более 100 публикаций
- Успешный опыт работы по оптимизации российского и зарубежного налогообложения, судебных сп"&amp;"оров")</f>
        <v>- Генеральный директор ООО «Актуальный менеджмент»
- Кандидат юридических наук
- Автор 33 книг по налогообложению и его оптимизации, автор более 100 публикаций
- Успешный опыт работы по оптимизации российского и зарубежного налогообложения, судебных споров</v>
      </c>
    </row>
    <row r="26" spans="1:3" ht="12.75" x14ac:dyDescent="0.2">
      <c r="A26" s="1"/>
      <c r="B26" s="8" t="str">
        <f ca="1">IFERROR(__xludf.DUMMYFUNCTION("""COMPUTED_VALUE""")," Екатерина Шукалова")</f>
        <v xml:space="preserve"> Екатерина Шукалова</v>
      </c>
      <c r="C26" s="1" t="str">
        <f ca="1">IFERROR(__xludf.DUMMYFUNCTION("""COMPUTED_VALUE"""),"Системный интернет-маркетолог, владелец интернет-агентства «ФЕРТ» с 2004 года. (www.fert.ru) ")</f>
        <v xml:space="preserve">Системный интернет-маркетолог, владелец интернет-агентства «ФЕРТ» с 2004 года. (www.fert.ru) </v>
      </c>
    </row>
    <row r="27" spans="1:3" ht="12.75" x14ac:dyDescent="0.2">
      <c r="A27" s="1"/>
      <c r="B27" s="8" t="str">
        <f ca="1">IFERROR(__xludf.DUMMYFUNCTION("""COMPUTED_VALUE""")," Елена Краснова")</f>
        <v xml:space="preserve"> Елена Краснова</v>
      </c>
      <c r="C27" s="1" t="str">
        <f ca="1">IFERROR(__xludf.DUMMYFUNCTION("""COMPUTED_VALUE"""),"- Основатель Tkanoff Group: более 30,000 клиентов, 5 торговых представителей в регионах, более 5000 SKU- Основатель бренда одежды Selektion
- Член экспертного совета Минэкономразвития РФ, Председатель комитета Московской Опоры России
- Руководитель Комите"&amp;"та легкой промышленности Межрегионального «Клуба молодых промышленников» при Минпромторг РФ
")</f>
        <v xml:space="preserve">- Основатель Tkanoff Group: более 30,000 клиентов, 5 торговых представителей в регионах, более 5000 SKU- Основатель бренда одежды Selektion
- Член экспертного совета Минэкономразвития РФ, Председатель комитета Московской Опоры России
- Руководитель Комитета легкой промышленности Межрегионального «Клуба молодых промышленников» при Минпромторг РФ
</v>
      </c>
    </row>
    <row r="28" spans="1:3" ht="12.75" x14ac:dyDescent="0.2">
      <c r="A28" s="1"/>
      <c r="B28" s="8" t="str">
        <f ca="1">IFERROR(__xludf.DUMMYFUNCTION("""COMPUTED_VALUE""")," Игорь Носов")</f>
        <v xml:space="preserve"> Игорь Носов</v>
      </c>
      <c r="C28" s="1" t="str">
        <f ca="1">IFERROR(__xludf.DUMMYFUNCTION("""COMPUTED_VALUE"""),"- Руководитель Сообщества спикеров Деловой среды
- Финалист 1 потока конкурса «Лидеры России»
- ТОП-100 молодых экономических лидеров России по версии института Шуазель (Франция)
- Дипломированный психолог
- Автор проекта НА ВСЕ 360°")</f>
        <v>- Руководитель Сообщества спикеров Деловой среды
- Финалист 1 потока конкурса «Лидеры России»
- ТОП-100 молодых экономических лидеров России по версии института Шуазель (Франция)
- Дипломированный психолог
- Автор проекта НА ВСЕ 360°</v>
      </c>
    </row>
    <row r="29" spans="1:3" ht="12.75" x14ac:dyDescent="0.2">
      <c r="A29" s="1"/>
      <c r="B29" s="8" t="str">
        <f ca="1">IFERROR(__xludf.DUMMYFUNCTION("""COMPUTED_VALUE""")," Ирина Анохина")</f>
        <v xml:space="preserve"> Ирина Анохина</v>
      </c>
      <c r="C29" s="1" t="str">
        <f ca="1">IFERROR(__xludf.DUMMYFUNCTION("""COMPUTED_VALUE"""),"- Учредитель образовательной академии KADS Academy: более 10 000 участников 
- Эксперт в сфере управления проектами: за 8 лет реализовано более 500 успешных проектов в т.ч. на федеральном и международном уровнях с численностью участников до 4500 человек
-"&amp;" Председатель комитета по женскому предпринимательству Томской торгово-промышленной палаты
- Прошла путь от фитнес-тренера до учредителя собственной компании")</f>
        <v>- Учредитель образовательной академии KADS Academy: более 10 000 участников 
- Эксперт в сфере управления проектами: за 8 лет реализовано более 500 успешных проектов в т.ч. на федеральном и международном уровнях с численностью участников до 4500 человек
- Председатель комитета по женскому предпринимательству Томской торгово-промышленной палаты
- Прошла путь от фитнес-тренера до учредителя собственной компании</v>
      </c>
    </row>
    <row r="30" spans="1:3" ht="12.75" x14ac:dyDescent="0.2">
      <c r="A30" s="1"/>
      <c r="B30" s="8" t="str">
        <f ca="1">IFERROR(__xludf.DUMMYFUNCTION("""COMPUTED_VALUE""")," Ирина Вантей")</f>
        <v xml:space="preserve"> Ирина Вантей</v>
      </c>
      <c r="C30" s="1" t="str">
        <f ca="1">IFERROR(__xludf.DUMMYFUNCTION("""COMPUTED_VALUE"""),"- Эксперт по бизнес-презентациям и бизнес-планированию
- 13 сфер бизнеса, с которыми работала: от фото-студий до производства композитной арматуры
- 19 лет информационно-аналитической работы
- Более 1 000 подготовленных презентаций, 653 тыс. страниц уника"&amp;"льного текста")</f>
        <v>- Эксперт по бизнес-презентациям и бизнес-планированию
- 13 сфер бизнеса, с которыми работала: от фото-студий до производства композитной арматуры
- 19 лет информационно-аналитической работы
- Более 1 000 подготовленных презентаций, 653 тыс. страниц уникального текста</v>
      </c>
    </row>
    <row r="31" spans="1:3" ht="12.75" x14ac:dyDescent="0.2">
      <c r="A31" s="1"/>
      <c r="B31" s="8" t="str">
        <f ca="1">IFERROR(__xludf.DUMMYFUNCTION("""COMPUTED_VALUE""")," Кирилл Липай")</f>
        <v xml:space="preserve"> Кирилл Липай</v>
      </c>
      <c r="C31" s="1" t="str">
        <f ca="1">IFERROR(__xludf.DUMMYFUNCTION("""COMPUTED_VALUE"""),"- Собственник компании Chel Malikspace – обучилось более 100 тыс. человек за 3 года. Затраты компании на рекламу в соцсетях составляют более 10 млн руб. в год
- Собственник диджитал агентства DA Kenobi. Спикер по маркетингу, консультант. Лично обучил боле"&amp;"е 300 smmщиков
- Создатель бизнес клуба «ВПотоке», в составе которого более 130 предпринимателей из России
")</f>
        <v xml:space="preserve">- Собственник компании Chel Malikspace – обучилось более 100 тыс. человек за 3 года. Затраты компании на рекламу в соцсетях составляют более 10 млн руб. в год
- Собственник диджитал агентства DA Kenobi. Спикер по маркетингу, консультант. Лично обучил более 300 smmщиков
- Создатель бизнес клуба «ВПотоке», в составе которого более 130 предпринимателей из России
</v>
      </c>
    </row>
    <row r="32" spans="1:3" ht="12.75" x14ac:dyDescent="0.2">
      <c r="A32" s="1"/>
      <c r="B32" s="8" t="str">
        <f ca="1">IFERROR(__xludf.DUMMYFUNCTION("""COMPUTED_VALUE""")," Ксения Суворова")</f>
        <v xml:space="preserve"> Ксения Суворова</v>
      </c>
      <c r="C32" s="1" t="str">
        <f ca="1">IFERROR(__xludf.DUMMYFUNCTION("""COMPUTED_VALUE"""),"- Директор по маркетингу, специалист полного маркетингового цикла
- Среди клиентов: Leroy Merlin, Drom.ru, «Яндекс.Еда», Starbucks, Audi Russia, «Едадил»
- Работала журналистом в течение 10-ти лет, была автором в «Таких делах», экс-директор по развитию «Ф"&amp;"онтанка.ру», экс-главный редактор «Нетология», экс-заместитель главного редактора Inc.Russia
- Основатель социального медиапроекта MadMed.Media")</f>
        <v>- Директор по маркетингу, специалист полного маркетингового цикла
- Среди клиентов: Leroy Merlin, Drom.ru, «Яндекс.Еда», Starbucks, Audi Russia, «Едадил»
- Работала журналистом в течение 10-ти лет, была автором в «Таких делах», экс-директор по развитию «Фонтанка.ру», экс-главный редактор «Нетология», экс-заместитель главного редактора Inc.Russia
- Основатель социального медиапроекта MadMed.Media</v>
      </c>
    </row>
    <row r="33" spans="1:3" ht="12.75" x14ac:dyDescent="0.2">
      <c r="A33" s="1"/>
      <c r="B33" s="8" t="str">
        <f ca="1">IFERROR(__xludf.DUMMYFUNCTION("""COMPUTED_VALUE""")," Мария Дараган")</f>
        <v xml:space="preserve"> Мария Дараган</v>
      </c>
      <c r="C33" s="1" t="str">
        <f ca="1">IFERROR(__xludf.DUMMYFUNCTION("""COMPUTED_VALUE"""),"- Радиожурналист, спикер, тренер и консультант с четырнадцатилетним опытом работы
- Основатель Московской Школы Радио и Телевидения 
- Финалист национальной премии Радиомания
- Подготовка и продюсирование конференций в онлайн и оффлайн формате для таких к"&amp;"омпаний, как: МТС, Норникель, S7 GROUP, QIWI, ДЫМОВ, BE-LUGA GROUP, AVIASALES, ЭВОТОР и другие
")</f>
        <v xml:space="preserve">- Радиожурналист, спикер, тренер и консультант с четырнадцатилетним опытом работы
- Основатель Московской Школы Радио и Телевидения 
- Финалист национальной премии Радиомания
- Подготовка и продюсирование конференций в онлайн и оффлайн формате для таких компаний, как: МТС, Норникель, S7 GROUP, QIWI, ДЫМОВ, BE-LUGA GROUP, AVIASALES, ЭВОТОР и другие
</v>
      </c>
    </row>
    <row r="34" spans="1:3" ht="12.75" x14ac:dyDescent="0.2">
      <c r="A34" s="1"/>
      <c r="B34" s="8" t="str">
        <f ca="1">IFERROR(__xludf.DUMMYFUNCTION("""COMPUTED_VALUE""")," Надежда Финансовая")</f>
        <v xml:space="preserve"> Надежда Финансовая</v>
      </c>
      <c r="C34" s="1" t="str">
        <f ca="1">IFERROR(__xludf.DUMMYFUNCTION("""COMPUTED_VALUE"""),"- Действующий тренер в «Газпром корпоративный институт»
- Сооснователь инвестиционного сообщества «Инвестиции вокруг», за полгода привлекли и проинвестировали 42,5 млн. рублей
- Эксперт в области финансов с 13 летним стажем
- Управляла бюджетами телеканал"&amp;"ов СТС, РЕН ТВ, ТРК, газет Известия и Метро, радио Русская служба новостей и Балтийская группа 
- Автор курса по финансовой грамотности")</f>
        <v>- Действующий тренер в «Газпром корпоративный институт»
- Сооснователь инвестиционного сообщества «Инвестиции вокруг», за полгода привлекли и проинвестировали 42,5 млн. рублей
- Эксперт в области финансов с 13 летним стажем
- Управляла бюджетами телеканалов СТС, РЕН ТВ, ТРК, газет Известия и Метро, радио Русская служба новостей и Балтийская группа 
- Автор курса по финансовой грамотности</v>
      </c>
    </row>
    <row r="35" spans="1:3" ht="12.75" x14ac:dyDescent="0.2">
      <c r="A35" s="1"/>
      <c r="B35" s="8" t="str">
        <f ca="1">IFERROR(__xludf.DUMMYFUNCTION("""COMPUTED_VALUE""")," Наталья Шипилова")</f>
        <v xml:space="preserve"> Наталья Шипилова</v>
      </c>
      <c r="C35" s="1" t="str">
        <f ca="1">IFERROR(__xludf.DUMMYFUNCTION("""COMPUTED_VALUE"""),"- Магистр Гуманитарных наук: Master of Art, Digital Media Management, Hyper Island, Teesside University, Манчестер, Великобритания
- Применение дизайн-мышления и сервис-дизайна в создании и продвижении продукта/сервиса в России и Европе (KPMG, Yandex, Mar"&amp;"s, HBC Coca-Cola и пр.)
- Сооснователь проекта The Museum of Me в Европе
")</f>
        <v xml:space="preserve">- Магистр Гуманитарных наук: Master of Art, Digital Media Management, Hyper Island, Teesside University, Манчестер, Великобритания
- Применение дизайн-мышления и сервис-дизайна в создании и продвижении продукта/сервиса в России и Европе (KPMG, Yandex, Mars, HBC Coca-Cola и пр.)
- Сооснователь проекта The Museum of Me в Европе
</v>
      </c>
    </row>
    <row r="36" spans="1:3" ht="12.75" x14ac:dyDescent="0.2">
      <c r="A36" s="1"/>
      <c r="B36" s="8" t="str">
        <f ca="1">IFERROR(__xludf.DUMMYFUNCTION("""COMPUTED_VALUE""")," Николай Иванович Коноплянников")</f>
        <v xml:space="preserve"> Николай Иванович Коноплянников</v>
      </c>
      <c r="C36" s="1" t="str">
        <f ca="1">IFERROR(__xludf.DUMMYFUNCTION("""COMPUTED_VALUE"""),"Генеральный продюсер Promopult.tv, руководитель учебного центра CyberMarketing.ru
соавтор книги «Раскрутка»")</f>
        <v>Генеральный продюсер Promopult.tv, руководитель учебного центра CyberMarketing.ru
соавтор книги «Раскрутка»</v>
      </c>
    </row>
    <row r="37" spans="1:3" ht="12.75" x14ac:dyDescent="0.2">
      <c r="A37" s="1"/>
      <c r="B37" s="8" t="str">
        <f ca="1">IFERROR(__xludf.DUMMYFUNCTION("""COMPUTED_VALUE""")," Ольга Линник")</f>
        <v xml:space="preserve"> Ольга Линник</v>
      </c>
      <c r="C37" s="1"/>
    </row>
    <row r="38" spans="1:3" ht="12.75" x14ac:dyDescent="0.2">
      <c r="A38" s="1"/>
      <c r="B38" s="8" t="str">
        <f ca="1">IFERROR(__xludf.DUMMYFUNCTION("""COMPUTED_VALUE""")," Радмир Яруллин")</f>
        <v xml:space="preserve"> Радмир Яруллин</v>
      </c>
      <c r="C38" s="1" t="str">
        <f ca="1">IFERROR(__xludf.DUMMYFUNCTION("""COMPUTED_VALUE"""),"- Создатель и эксперт международной онлайн-школы визуального мышления «ОГО», обучение прошли более 1 000 учащихся
- Старший региональный тренинг-менеджер ювелирной сети «Адамас» с 10 000 тренинговых часов
- Бизнес-тренер с опытом работы 5 лет, среди клиен"&amp;"тов: ГазпромНефть СМ, Яндекс, Вконтакте, Сбербанк")</f>
        <v>- Создатель и эксперт международной онлайн-школы визуального мышления «ОГО», обучение прошли более 1 000 учащихся
- Старший региональный тренинг-менеджер ювелирной сети «Адамас» с 10 000 тренинговых часов
- Бизнес-тренер с опытом работы 5 лет, среди клиентов: ГазпромНефть СМ, Яндекс, Вконтакте, Сбербанк</v>
      </c>
    </row>
    <row r="39" spans="1:3" ht="12.75" x14ac:dyDescent="0.2">
      <c r="A39" s="1"/>
      <c r="B39" s="8" t="str">
        <f ca="1">IFERROR(__xludf.DUMMYFUNCTION("""COMPUTED_VALUE""")," Ренат Янбеков")</f>
        <v xml:space="preserve"> Ренат Янбеков</v>
      </c>
      <c r="C39" s="1" t="str">
        <f ca="1">IFERROR(__xludf.DUMMYFUNCTION("""COMPUTED_VALUE"""),"- Генеральный директор SMM-агентства NÉRPA. SMM-стратег
- Автор компьютерной литературы в издательстве ЭКСМО
- Автор бестселлера «iPad как замена компьютеру и ноутбуку»")</f>
        <v>- Генеральный директор SMM-агентства NÉRPA. SMM-стратег
- Автор компьютерной литературы в издательстве ЭКСМО
- Автор бестселлера «iPad как замена компьютеру и ноутбуку»</v>
      </c>
    </row>
    <row r="40" spans="1:3" ht="12.75" x14ac:dyDescent="0.2">
      <c r="A40" s="1"/>
      <c r="B40" s="8" t="str">
        <f ca="1">IFERROR(__xludf.DUMMYFUNCTION("""COMPUTED_VALUE""")," Роман Паткин")</f>
        <v xml:space="preserve"> Роман Паткин</v>
      </c>
      <c r="C40" s="1" t="str">
        <f ca="1">IFERROR(__xludf.DUMMYFUNCTION("""COMPUTED_VALUE"""),"- Руководитель рекламно-консалтингового агентства РП консалтинг с 2005 года (реализовано больше 500 проектов)
- Предприниматель с 18 летним стажем
- 20 лет практики в области исследований психики и ресурсных состояний человека
- Консультация и сопровожден"&amp;"ие предпринимателей: более 18 лет практикует биосенсорную психологию ")</f>
        <v xml:space="preserve">- Руководитель рекламно-консалтингового агентства РП консалтинг с 2005 года (реализовано больше 500 проектов)
- Предприниматель с 18 летним стажем
- 20 лет практики в области исследований психики и ресурсных состояний человека
- Консультация и сопровождение предпринимателей: более 18 лет практикует биосенсорную психологию </v>
      </c>
    </row>
    <row r="41" spans="1:3" ht="12.75" x14ac:dyDescent="0.2">
      <c r="A41" s="1"/>
      <c r="B41" s="8" t="str">
        <f ca="1">IFERROR(__xludf.DUMMYFUNCTION("""COMPUTED_VALUE""")," Рустам Багизов")</f>
        <v xml:space="preserve"> Рустам Багизов</v>
      </c>
      <c r="C41" s="1" t="str">
        <f ca="1">IFERROR(__xludf.DUMMYFUNCTION("""COMPUTED_VALUE"""),"- Шеф-редактор телеканала РБК-Пермь, ведущий
- Медиатренер: работа в кадре, речь, написание текстов, журналистика
- Модератор деловых мероприятий")</f>
        <v>- Шеф-редактор телеканала РБК-Пермь, ведущий
- Медиатренер: работа в кадре, речь, написание текстов, журналистика
- Модератор деловых мероприятий</v>
      </c>
    </row>
    <row r="42" spans="1:3" ht="12.75" x14ac:dyDescent="0.2">
      <c r="A42" s="1"/>
      <c r="B42" s="8" t="str">
        <f ca="1">IFERROR(__xludf.DUMMYFUNCTION("""COMPUTED_VALUE""")," Светлана Павельчук")</f>
        <v xml:space="preserve"> Светлана Павельчук</v>
      </c>
      <c r="C42" s="1" t="str">
        <f ca="1">IFERROR(__xludf.DUMMYFUNCTION("""COMPUTED_VALUE"""),"- Основатель и генеральный директор консалтинговой компании «Авангард бюро» с 2008 г.
- На сегодня в компании 1500+ клиентов в РФ, странах СНГ и Европе
- Сопредседатель Комитета развития женского предпринимательства МГО «Опора России»
- Эксперт, тренер в "&amp;"сфере финансового учета и налогообложения
- Эксперт по построению бизнес-системы и стратегии компании")</f>
        <v>- Основатель и генеральный директор консалтинговой компании «Авангард бюро» с 2008 г.
- На сегодня в компании 1500+ клиентов в РФ, странах СНГ и Европе
- Сопредседатель Комитета развития женского предпринимательства МГО «Опора России»
- Эксперт, тренер в сфере финансового учета и налогообложения
- Эксперт по построению бизнес-системы и стратегии компании</v>
      </c>
    </row>
    <row r="43" spans="1:3" ht="12.75" x14ac:dyDescent="0.2">
      <c r="A43" s="1"/>
      <c r="B43" s="8" t="str">
        <f ca="1">IFERROR(__xludf.DUMMYFUNCTION("""COMPUTED_VALUE""")," Светлана Палий (Бухрякова)")</f>
        <v xml:space="preserve"> Светлана Палий (Бухрякова)</v>
      </c>
      <c r="C43" s="1" t="str">
        <f ca="1">IFERROR(__xludf.DUMMYFUNCTION("""COMPUTED_VALUE"""),"Практик с профессиональным опытом в бухгалтерском учёте и финансовом
управлении бизнесом более 25 лет. Член Палаты налоговых консультантов")</f>
        <v>Практик с профессиональным опытом в бухгалтерском учёте и финансовом
управлении бизнесом более 25 лет. Член Палаты налоговых консультантов</v>
      </c>
    </row>
    <row r="44" spans="1:3" ht="12.75" x14ac:dyDescent="0.2">
      <c r="A44" s="1"/>
      <c r="B44" s="8" t="str">
        <f ca="1">IFERROR(__xludf.DUMMYFUNCTION("""COMPUTED_VALUE""")," Светлана Трухманова")</f>
        <v xml:space="preserve"> Светлана Трухманова</v>
      </c>
      <c r="C44" s="1" t="str">
        <f ca="1">IFERROR(__xludf.DUMMYFUNCTION("""COMPUTED_VALUE"""),"- Бухгалтер в управляющей компании Персона")</f>
        <v>- Бухгалтер в управляющей компании Персона</v>
      </c>
    </row>
    <row r="45" spans="1:3" ht="12.75" x14ac:dyDescent="0.2">
      <c r="A45" s="1"/>
      <c r="B45" s="8" t="str">
        <f ca="1">IFERROR(__xludf.DUMMYFUNCTION("""COMPUTED_VALUE""")," Сергей Артюшкин")</f>
        <v xml:space="preserve"> Сергей Артюшкин</v>
      </c>
      <c r="C45" s="1" t="str">
        <f ca="1">IFERROR(__xludf.DUMMYFUNCTION("""COMPUTED_VALUE"""),"- Руководитель транспортно-экспедиторской компании Viremrus - официальный таможенный представитель 
- Эксперт в области таможенного дела, внешнеэкономической деятельности и международных перевозок с 16-ти летним опытом
- Помог клиентам подтвердить заявлен"&amp;"ную таможенную стоимость и сэкономить на таможенных платежах более 25 млн. рублей
- Более 10 000 успешно оформленных таможенных деклараций ")</f>
        <v xml:space="preserve">- Руководитель транспортно-экспедиторской компании Viremrus - официальный таможенный представитель 
- Эксперт в области таможенного дела, внешнеэкономической деятельности и международных перевозок с 16-ти летним опытом
- Помог клиентам подтвердить заявленную таможенную стоимость и сэкономить на таможенных платежах более 25 млн. рублей
- Более 10 000 успешно оформленных таможенных деклараций </v>
      </c>
    </row>
    <row r="46" spans="1:3" ht="12.75" x14ac:dyDescent="0.2">
      <c r="A46" s="1"/>
      <c r="B46" s="8" t="str">
        <f ca="1">IFERROR(__xludf.DUMMYFUNCTION("""COMPUTED_VALUE""")," Спартак Иванов")</f>
        <v xml:space="preserve"> Спартак Иванов</v>
      </c>
      <c r="C46" s="1" t="str">
        <f ca="1">IFERROR(__xludf.DUMMYFUNCTION("""COMPUTED_VALUE"""),"- Владелец онлайн-школы по обучению профессии «Менеджер по продажам удалённо»
- Эксперт по скриптам продаж и повышению эффективности отделов продаж
- Обучил 400+ менеджеров по продажам лично, написал 350+ скриптов продаж
- Помог 70+ компаниям малого и сре"&amp;"днего бизнеса из 50 сфер увеличить выручку на 30% и более
- Лично учился у Джордана Белфорта (Волк с Уолл-Стрит) ")</f>
        <v xml:space="preserve">- Владелец онлайн-школы по обучению профессии «Менеджер по продажам удалённо»
- Эксперт по скриптам продаж и повышению эффективности отделов продаж
- Обучил 400+ менеджеров по продажам лично, написал 350+ скриптов продаж
- Помог 70+ компаниям малого и среднего бизнеса из 50 сфер увеличить выручку на 30% и более
- Лично учился у Джордана Белфорта (Волк с Уолл-Стрит) </v>
      </c>
    </row>
    <row r="47" spans="1:3" ht="12.75" x14ac:dyDescent="0.2">
      <c r="A47" s="1"/>
      <c r="B47" s="8" t="str">
        <f ca="1">IFERROR(__xludf.DUMMYFUNCTION("""COMPUTED_VALUE""")," Татьяна Винокурова")</f>
        <v xml:space="preserve"> Татьяна Винокурова</v>
      </c>
      <c r="C47" s="1" t="str">
        <f ca="1">IFERROR(__xludf.DUMMYFUNCTION("""COMPUTED_VALUE"""),"- Основатель консалтинговой компании PRO бизнес
- Сертифицированный бизнес-тренер
- Президент Ассоциации Спикеров Санкт-Петербурга
- Входит в ТОП-10 экспертов в России по построению отделов продаж")</f>
        <v>- Основатель консалтинговой компании PRO бизнес
- Сертифицированный бизнес-тренер
- Президент Ассоциации Спикеров Санкт-Петербурга
- Входит в ТОП-10 экспертов в России по построению отделов продаж</v>
      </c>
    </row>
    <row r="48" spans="1:3" ht="12.75" x14ac:dyDescent="0.2">
      <c r="A48" s="1"/>
      <c r="B48" s="8" t="str">
        <f ca="1">IFERROR(__xludf.DUMMYFUNCTION("""COMPUTED_VALUE""")," Юлия Капишева")</f>
        <v xml:space="preserve"> Юлия Капишева</v>
      </c>
      <c r="C48" s="1" t="str">
        <f ca="1">IFERROR(__xludf.DUMMYFUNCTION("""COMPUTED_VALUE"""),"- Эксперт в области организационного развития и стратегического управления, МВА, IPMA
- Более 22 лет — опыт управления в сфере торговли, маркетинга, управления проектами, бизнес-образования, консалтинга
- Руководитель консалтинговых проектов в РФ
- Ведущи"&amp;"й бизнес-тренер по стратегии и управлению в РФ
- Консультант и Советник для бизнес-команд ")</f>
        <v xml:space="preserve">- Эксперт в области организационного развития и стратегического управления, МВА, IPMA
- Более 22 лет — опыт управления в сфере торговли, маркетинга, управления проектами, бизнес-образования, консалтинга
- Руководитель консалтинговых проектов в РФ
- Ведущий бизнес-тренер по стратегии и управлению в РФ
- Консультант и Советник для бизнес-команд </v>
      </c>
    </row>
    <row r="49" spans="1:3" ht="12.75" x14ac:dyDescent="0.2">
      <c r="A49" s="1"/>
      <c r="B49" s="8" t="str">
        <f ca="1">IFERROR(__xludf.DUMMYFUNCTION("""COMPUTED_VALUE""")," Юлия Михальчук")</f>
        <v xml:space="preserve"> Юлия Михальчук</v>
      </c>
      <c r="C49" s="1" t="str">
        <f ca="1">IFERROR(__xludf.DUMMYFUNCTION("""COMPUTED_VALUE"""),"- Адвокат, советник юридической фирмы «Савельев, Батанов и партнеры»
- Специализируется на разрешении комплексных корпоративных конфликтах
- Основной фокус – споры об ответственности директоров, акционеров и
бенефициаров")</f>
        <v>- Адвокат, советник юридической фирмы «Савельев, Батанов и партнеры»
- Специализируется на разрешении комплексных корпоративных конфликтах
- Основной фокус – споры об ответственности директоров, акционеров и
бенефициаров</v>
      </c>
    </row>
    <row r="50" spans="1:3" ht="12.75" x14ac:dyDescent="0.2">
      <c r="A50" s="1"/>
      <c r="B50" s="8" t="str">
        <f ca="1">IFERROR(__xludf.DUMMYFUNCTION("""COMPUTED_VALUE"""),"Александр Афанасьев")</f>
        <v>Александр Афанасьев</v>
      </c>
      <c r="C50" s="1" t="str">
        <f ca="1">IFERROR(__xludf.DUMMYFUNCTION("""COMPUTED_VALUE"""),"- Сооснователь компании «Нескучные финансы» 
- Эксперт по финансовому планированию и управленческому учету")</f>
        <v>- Сооснователь компании «Нескучные финансы» 
- Эксперт по финансовому планированию и управленческому учету</v>
      </c>
    </row>
    <row r="51" spans="1:3" ht="12.75" x14ac:dyDescent="0.2">
      <c r="A51" s="1"/>
      <c r="B51" s="8" t="str">
        <f ca="1">IFERROR(__xludf.DUMMYFUNCTION("""COMPUTED_VALUE"""),"Александр Глок")</f>
        <v>Александр Глок</v>
      </c>
      <c r="C51" s="1" t="str">
        <f ca="1">IFERROR(__xludf.DUMMYFUNCTION("""COMPUTED_VALUE"""),"- Бизнес-тренер в компании SaveTime
- Эксперт в создании высокоэффективных команд, развития управленческих компетенций, управления проектами
- 25 лет в управлении компаниями, под руководством более 700 созданных компаний выпускниками программы развития мо"&amp;"лодежного предпринимательства «Томск — месторождение успеха»")</f>
        <v>- Бизнес-тренер в компании SaveTime
- Эксперт в создании высокоэффективных команд, развития управленческих компетенций, управления проектами
- 25 лет в управлении компаниями, под руководством более 700 созданных компаний выпускниками программы развития молодежного предпринимательства «Томск — месторождение успеха»</v>
      </c>
    </row>
    <row r="52" spans="1:3" ht="12.75" x14ac:dyDescent="0.2">
      <c r="A52" s="1"/>
      <c r="B52" s="8" t="str">
        <f ca="1">IFERROR(__xludf.DUMMYFUNCTION("""COMPUTED_VALUE"""),"Александр Ерохов")</f>
        <v>Александр Ерохов</v>
      </c>
      <c r="C52" s="1" t="str">
        <f ca="1">IFERROR(__xludf.DUMMYFUNCTION("""COMPUTED_VALUE"""),"Бизнес-эксперт, предприниматель, управляющий партнер компании «Salecraft», автор книги «Идеальная продажа»")</f>
        <v>Бизнес-эксперт, предприниматель, управляющий партнер компании «Salecraft», автор книги «Идеальная продажа»</v>
      </c>
    </row>
    <row r="53" spans="1:3" ht="12.75" x14ac:dyDescent="0.2">
      <c r="A53" s="1"/>
      <c r="B53" s="8" t="str">
        <f ca="1">IFERROR(__xludf.DUMMYFUNCTION("""COMPUTED_VALUE"""),"Александр Иванов")</f>
        <v>Александр Иванов</v>
      </c>
      <c r="C53" s="1" t="str">
        <f ca="1">IFERROR(__xludf.DUMMYFUNCTION("""COMPUTED_VALUE"""),"- Руководитель performance направления Faberlic
- Практикующий арбитражник и аналитик
- Интернет-маркетолог с техническим бэкграундом
- Спикер Сурового Питерского SMM, преподаватель Нетологии, стартап-марафонов и др.
- Фанат тестов и цифр
")</f>
        <v xml:space="preserve">- Руководитель performance направления Faberlic
- Практикующий арбитражник и аналитик
- Интернет-маркетолог с техническим бэкграундом
- Спикер Сурового Питерского SMM, преподаватель Нетологии, стартап-марафонов и др.
- Фанат тестов и цифр
</v>
      </c>
    </row>
    <row r="54" spans="1:3" ht="12.75" x14ac:dyDescent="0.2">
      <c r="A54" s="1"/>
      <c r="B54" s="8" t="str">
        <f ca="1">IFERROR(__xludf.DUMMYFUNCTION("""COMPUTED_VALUE"""),"Александр Кравцов")</f>
        <v>Александр Кравцов</v>
      </c>
      <c r="C54" s="1" t="str">
        <f ca="1">IFERROR(__xludf.DUMMYFUNCTION("""COMPUTED_VALUE"""),"- Президент группы компаний «Руян»
- Создатель и владелец бренда «Экспедиция»
- В разное время в «Руяне» были созданы такие бренды, как «Раптор», Mosquitall, «Твист», Salton, Forester и др.
- Сегодня «Руян» — это легендарный ресторан «Экспедиция. Северная"&amp;" кухня» в самом центре Москвы, бани, кулинария «Таежное зимовье», сеть магазинов VIP-подарков «Фактория», интернет-магазины, креатив-парк под Москвой и гонка на внедорожниках «Экспедиция-Трофи» от Мурманска до Владивостока")</f>
        <v>- Президент группы компаний «Руян»
- Создатель и владелец бренда «Экспедиция»
- В разное время в «Руяне» были созданы такие бренды, как «Раптор», Mosquitall, «Твист», Salton, Forester и др.
- Сегодня «Руян» — это легендарный ресторан «Экспедиция. Северная кухня» в самом центре Москвы, бани, кулинария «Таежное зимовье», сеть магазинов VIP-подарков «Фактория», интернет-магазины, креатив-парк под Москвой и гонка на внедорожниках «Экспедиция-Трофи» от Мурманска до Владивостока</v>
      </c>
    </row>
    <row r="55" spans="1:3" ht="12.75" x14ac:dyDescent="0.2">
      <c r="A55" s="1"/>
      <c r="B55" s="8" t="str">
        <f ca="1">IFERROR(__xludf.DUMMYFUNCTION("""COMPUTED_VALUE"""),"Александр Плигин")</f>
        <v>Александр Плигин</v>
      </c>
      <c r="C55" s="1"/>
    </row>
    <row r="56" spans="1:3" ht="12.75" x14ac:dyDescent="0.2">
      <c r="A56" s="1"/>
      <c r="B56" s="8" t="str">
        <f ca="1">IFERROR(__xludf.DUMMYFUNCTION("""COMPUTED_VALUE"""),"Александр Цин-Дэ-Шань")</f>
        <v>Александр Цин-Дэ-Шань</v>
      </c>
      <c r="C56" s="1" t="str">
        <f ca="1">IFERROR(__xludf.DUMMYFUNCTION("""COMPUTED_VALUE"""),"- Основатель сети спортивных клубов «Power Club» — 13 лет на рынке спортивных услуг, 300 000 посещений в год
- Основатель федеральной сети школ фитнес-тренеров «HLS GO» — обучено более 2000 фитнес-тренеров в 13 городах России
- Депутат Думы Города Томска
"&amp;"- Со-основатель образовательной компании «KADS Academy» — провели образовательные мероприятия для 3000 предпринимателей
- Председатель АНО «Время быть сильным!» — 5 лет социальной и благотворительной деятельности 
- Мастер Спорта в трёх жимовых дисциплина"&amp;"х")</f>
        <v>- Основатель сети спортивных клубов «Power Club» — 13 лет на рынке спортивных услуг, 300 000 посещений в год
- Основатель федеральной сети школ фитнес-тренеров «HLS GO» — обучено более 2000 фитнес-тренеров в 13 городах России
- Депутат Думы Города Томска
- Со-основатель образовательной компании «KADS Academy» — провели образовательные мероприятия для 3000 предпринимателей
- Председатель АНО «Время быть сильным!» — 5 лет социальной и благотворительной деятельности 
- Мастер Спорта в трёх жимовых дисциплинах</v>
      </c>
    </row>
    <row r="57" spans="1:3" ht="12.75" x14ac:dyDescent="0.2">
      <c r="A57" s="1"/>
      <c r="B57" s="8" t="str">
        <f ca="1">IFERROR(__xludf.DUMMYFUNCTION("""COMPUTED_VALUE"""),"Александра Пожарская")</f>
        <v>Александра Пожарская</v>
      </c>
      <c r="C57" s="1"/>
    </row>
    <row r="58" spans="1:3" ht="12.75" x14ac:dyDescent="0.2">
      <c r="A58" s="1"/>
      <c r="B58" s="8" t="str">
        <f ca="1">IFERROR(__xludf.DUMMYFUNCTION("""COMPUTED_VALUE"""),"Алексей Войтов")</f>
        <v>Алексей Войтов</v>
      </c>
      <c r="C58" s="1" t="str">
        <f ca="1">IFERROR(__xludf.DUMMYFUNCTION("""COMPUTED_VALUE"""),"- Основатель подкаста о франшизах «Франшиза.Live»
- Сооснователь и владелец франшизы суши-баров Kapibara с общим оборотом сети 4 млн долларов в год
- Партнер-франчайзи международной сети кофеен Coffee Like и федеральной сети детских парикмахерских Воображ"&amp;"уля, с клиентским потоком более 1000 человек в месяц
- Эксперт по франчайзингу")</f>
        <v>- Основатель подкаста о франшизах «Франшиза.Live»
- Сооснователь и владелец франшизы суши-баров Kapibara с общим оборотом сети 4 млн долларов в год
- Партнер-франчайзи международной сети кофеен Coffee Like и федеральной сети детских парикмахерских Воображуля, с клиентским потоком более 1000 человек в месяц
- Эксперт по франчайзингу</v>
      </c>
    </row>
    <row r="59" spans="1:3" ht="12.75" x14ac:dyDescent="0.2">
      <c r="A59" s="1"/>
      <c r="B59" s="8" t="str">
        <f ca="1">IFERROR(__xludf.DUMMYFUNCTION("""COMPUTED_VALUE"""),"Алексей Иванов")</f>
        <v>Алексей Иванов</v>
      </c>
      <c r="C59" s="1" t="str">
        <f ca="1">IFERROR(__xludf.DUMMYFUNCTION("""COMPUTED_VALUE"""),"Эксперт Яндекса по обучению, сооснователь и директор агентства ISEE Marketing. Автор и ведущий обучающих семинаров и авторской рассылки, докладчик и ведущий ключевых отраслевых конференций, в том числе РИФ, RIW, eTarget, ТРИМ, iMetrics, YaС")</f>
        <v>Эксперт Яндекса по обучению, сооснователь и директор агентства ISEE Marketing. Автор и ведущий обучающих семинаров и авторской рассылки, докладчик и ведущий ключевых отраслевых конференций, в том числе РИФ, RIW, eTarget, ТРИМ, iMetrics, YaС</v>
      </c>
    </row>
    <row r="60" spans="1:3" ht="12.75" x14ac:dyDescent="0.2">
      <c r="A60" s="1"/>
      <c r="B60" s="8" t="str">
        <f ca="1">IFERROR(__xludf.DUMMYFUNCTION("""COMPUTED_VALUE"""),"Алексей Коломыц")</f>
        <v>Алексей Коломыц</v>
      </c>
      <c r="C60" s="1" t="str">
        <f ca="1">IFERROR(__xludf.DUMMYFUNCTION("""COMPUTED_VALUE"""),"- Построил с нуля группу компаний ICK Group
- Основатель Kolomyts Group
- Эксперт по маркетингу и автоматизации бизнеса
- Ментор владельцев корпораций")</f>
        <v>- Построил с нуля группу компаний ICK Group
- Основатель Kolomyts Group
- Эксперт по маркетингу и автоматизации бизнеса
- Ментор владельцев корпораций</v>
      </c>
    </row>
    <row r="61" spans="1:3" ht="12.75" x14ac:dyDescent="0.2">
      <c r="A61" s="1"/>
      <c r="B61" s="8" t="str">
        <f ca="1">IFERROR(__xludf.DUMMYFUNCTION("""COMPUTED_VALUE"""),"Алексей Маликов")</f>
        <v>Алексей Маликов</v>
      </c>
      <c r="C61" s="1" t="str">
        <f ca="1">IFERROR(__xludf.DUMMYFUNCTION("""COMPUTED_VALUE"""),"- Основатель компании Самоспас и Вентопро — оборудование для работы на высоте и эвакуации (оборот 1 млрд. рублей)
- Основатель инвестиционного фонда A&amp;A Capital, инвестирует в 10+ проектов в год (размер фонда 100 млн. рублей)
- Автор телеграм канала «Труш"&amp;"ный ВЕНЧУР»
- Резидент бизнес клуба Эквиум
- Участник Ironman и рекорда Гиннеса")</f>
        <v>- Основатель компании Самоспас и Вентопро — оборудование для работы на высоте и эвакуации (оборот 1 млрд. рублей)
- Основатель инвестиционного фонда A&amp;A Capital, инвестирует в 10+ проектов в год (размер фонда 100 млн. рублей)
- Автор телеграм канала «Трушный ВЕНЧУР»
- Резидент бизнес клуба Эквиум
- Участник Ironman и рекорда Гиннеса</v>
      </c>
    </row>
    <row r="62" spans="1:3" ht="12.75" x14ac:dyDescent="0.2">
      <c r="A62" s="1"/>
      <c r="B62" s="8" t="str">
        <f ca="1">IFERROR(__xludf.DUMMYFUNCTION("""COMPUTED_VALUE"""),"Алексей Ситников")</f>
        <v>Алексей Ситников</v>
      </c>
      <c r="C62" s="1"/>
    </row>
    <row r="63" spans="1:3" ht="12.75" x14ac:dyDescent="0.2">
      <c r="A63" s="1"/>
      <c r="B63" s="8" t="str">
        <f ca="1">IFERROR(__xludf.DUMMYFUNCTION("""COMPUTED_VALUE"""),"Алексей Толкачев")</f>
        <v>Алексей Толкачев</v>
      </c>
      <c r="C63" s="1" t="str">
        <f ca="1">IFERROR(__xludf.DUMMYFUNCTION("""COMPUTED_VALUE"""),"
- Соучредитель проекта Территория Инвестирования, предприниматель 
- Инвестор, чемпион Мира по парашютно-горнолыжному двоеборью
- Автор курсов по развитию бизнеса, личностного роста и работе над собой
- Участвовал в установлении Рекорда Гиннеса 
")</f>
        <v xml:space="preserve">
- Соучредитель проекта Территория Инвестирования, предприниматель 
- Инвестор, чемпион Мира по парашютно-горнолыжному двоеборью
- Автор курсов по развитию бизнеса, личностного роста и работе над собой
- Участвовал в установлении Рекорда Гиннеса 
</v>
      </c>
    </row>
    <row r="64" spans="1:3" ht="12.75" x14ac:dyDescent="0.2">
      <c r="A64" s="1"/>
      <c r="B64" s="8" t="str">
        <f ca="1">IFERROR(__xludf.DUMMYFUNCTION("""COMPUTED_VALUE"""),"Алексей Урванцев")</f>
        <v>Алексей Урванцев</v>
      </c>
      <c r="C64" s="1" t="str">
        <f ca="1">IFERROR(__xludf.DUMMYFUNCTION("""COMPUTED_VALUE"""),"- Основатель компании «Подъем продаж»
- Эксперт в области повышения продаж
- Бизнес-тренер")</f>
        <v>- Основатель компании «Подъем продаж»
- Эксперт в области повышения продаж
- Бизнес-тренер</v>
      </c>
    </row>
    <row r="65" spans="1:3" ht="12.75" x14ac:dyDescent="0.2">
      <c r="A65" s="1"/>
      <c r="B65" s="8" t="str">
        <f ca="1">IFERROR(__xludf.DUMMYFUNCTION("""COMPUTED_VALUE"""),"Алексей Четвергоф")</f>
        <v>Алексей Четвергоф</v>
      </c>
      <c r="C65" s="1" t="str">
        <f ca="1">IFERROR(__xludf.DUMMYFUNCTION("""COMPUTED_VALUE"""),"- Основатель и совладелец маркетингового агентства «Marketing Brothers»
- Коммерческий директор производственной компании ООО «БИОСТИМУЛ»
- Идейный вдохновитель и сооснователь сети чайных «Пуэр Бар», «ЧайБери» и «Чайнабар»
- 12 лет в офлайн и онлайн марке"&amp;"тинге")</f>
        <v>- Основатель и совладелец маркетингового агентства «Marketing Brothers»
- Коммерческий директор производственной компании ООО «БИОСТИМУЛ»
- Идейный вдохновитель и сооснователь сети чайных «Пуэр Бар», «ЧайБери» и «Чайнабар»
- 12 лет в офлайн и онлайн маркетинге</v>
      </c>
    </row>
    <row r="66" spans="1:3" ht="12.75" x14ac:dyDescent="0.2">
      <c r="A66" s="1"/>
      <c r="B66" s="8" t="str">
        <f ca="1">IFERROR(__xludf.DUMMYFUNCTION("""COMPUTED_VALUE"""),"Алена Енова")</f>
        <v>Алена Енова</v>
      </c>
      <c r="C66" s="1" t="str">
        <f ca="1">IFERROR(__xludf.DUMMYFUNCTION("""COMPUTED_VALUE"""),"- Владелец федеральной управляющей компании «HotelKit», облачной системы «Hotelinstinct», бухгалтерии «Акцепт» и ТАЙГА House (ТОП-100 мира)
- Основатель и владелец «Школы отельеров Алены Еновой»
- Телеведущая, участник и ньюсмейкер десятков СМИ
- Руководи"&amp;"тель «Лиги малых отелей, хостелов и туристического жилья» по Северо-Западному федеральному округу")</f>
        <v>- Владелец федеральной управляющей компании «HotelKit», облачной системы «Hotelinstinct», бухгалтерии «Акцепт» и ТАЙГА House (ТОП-100 мира)
- Основатель и владелец «Школы отельеров Алены Еновой»
- Телеведущая, участник и ньюсмейкер десятков СМИ
- Руководитель «Лиги малых отелей, хостелов и туристического жилья» по Северо-Западному федеральному округу</v>
      </c>
    </row>
    <row r="67" spans="1:3" ht="12.75" x14ac:dyDescent="0.2">
      <c r="A67" s="1"/>
      <c r="B67" s="8" t="str">
        <f ca="1">IFERROR(__xludf.DUMMYFUNCTION("""COMPUTED_VALUE"""),"Алена Касаткина")</f>
        <v>Алена Касаткина</v>
      </c>
      <c r="C67" s="1" t="str">
        <f ca="1">IFERROR(__xludf.DUMMYFUNCTION("""COMPUTED_VALUE"""),"- Финансист, бизнес аналитик, предприниматель
- Развивает Агентство финансового консалтинга «Kasatkina Findoctor»")</f>
        <v>- Финансист, бизнес аналитик, предприниматель
- Развивает Агентство финансового консалтинга «Kasatkina Findoctor»</v>
      </c>
    </row>
    <row r="68" spans="1:3" ht="12.75" x14ac:dyDescent="0.2">
      <c r="A68" s="1"/>
      <c r="B68" s="8" t="str">
        <f ca="1">IFERROR(__xludf.DUMMYFUNCTION("""COMPUTED_VALUE"""),"Алёна Федоткина")</f>
        <v>Алёна Федоткина</v>
      </c>
      <c r="C68" s="1" t="str">
        <f ca="1">IFERROR(__xludf.DUMMYFUNCTION("""COMPUTED_VALUE"""),"- Совладелец компании «Трейд Импорт», эксперт-практик по ВЭД с 17 летним опытом
- Тренер 2 образовательных курсов по выводу компаний на международные рынки
- Соавтор и разработчик программ для подростков, оставшихся без попечения родителей: «Путь к успеху"&amp;"», «Финансовая грамотность»
")</f>
        <v xml:space="preserve">- Совладелец компании «Трейд Импорт», эксперт-практик по ВЭД с 17 летним опытом
- Тренер 2 образовательных курсов по выводу компаний на международные рынки
- Соавтор и разработчик программ для подростков, оставшихся без попечения родителей: «Путь к успеху», «Финансовая грамотность»
</v>
      </c>
    </row>
    <row r="69" spans="1:3" ht="12.75" x14ac:dyDescent="0.2">
      <c r="A69" s="1"/>
      <c r="B69" s="8" t="str">
        <f ca="1">IFERROR(__xludf.DUMMYFUNCTION("""COMPUTED_VALUE"""),"Алина Гончаренко")</f>
        <v>Алина Гончаренко</v>
      </c>
      <c r="C69" s="1" t="str">
        <f ca="1">IFERROR(__xludf.DUMMYFUNCTION("""COMPUTED_VALUE"""),"- Владелец производства дизайнерского декора и развивающих игрушек COOLWOOdecor
- Основатель проекта по продвижению товаров на маркетплейсах для handmade производителей «BEZGRANIZ»
- Обладатель статуса товара «Bestseller» на маркетплейсе Etsy.com
- Экспер"&amp;"т по российским и зарубежным маркетплейсам, интернет-маркетолог")</f>
        <v>- Владелец производства дизайнерского декора и развивающих игрушек COOLWOOdecor
- Основатель проекта по продвижению товаров на маркетплейсах для handmade производителей «BEZGRANIZ»
- Обладатель статуса товара «Bestseller» на маркетплейсе Etsy.com
- Эксперт по российским и зарубежным маркетплейсам, интернет-маркетолог</v>
      </c>
    </row>
    <row r="70" spans="1:3" ht="12.75" x14ac:dyDescent="0.2">
      <c r="A70" s="1"/>
      <c r="B70" s="8" t="str">
        <f ca="1">IFERROR(__xludf.DUMMYFUNCTION("""COMPUTED_VALUE"""),"Алина Ракитина")</f>
        <v>Алина Ракитина</v>
      </c>
      <c r="C70" s="1" t="str">
        <f ca="1">IFERROR(__xludf.DUMMYFUNCTION("""COMPUTED_VALUE"""),"- Основатель образовательного проекта для студентов «Поколение Z»
- Учредитель брендингового агентства AZBUKA
- Эксперт Бренд-технологии
- Более 9 лет управляющий проектов в сфере коммерческого и соц. брендинга")</f>
        <v>- Основатель образовательного проекта для студентов «Поколение Z»
- Учредитель брендингового агентства AZBUKA
- Эксперт Бренд-технологии
- Более 9 лет управляющий проектов в сфере коммерческого и соц. брендинга</v>
      </c>
    </row>
    <row r="71" spans="1:3" ht="12.75" x14ac:dyDescent="0.2">
      <c r="A71" s="1"/>
      <c r="B71" s="8" t="str">
        <f ca="1">IFERROR(__xludf.DUMMYFUNCTION("""COMPUTED_VALUE"""),"Ана Мавричева")</f>
        <v>Ана Мавричева</v>
      </c>
      <c r="C71" s="1" t="str">
        <f ca="1">IFERROR(__xludf.DUMMYFUNCTION("""COMPUTED_VALUE"""),"Эксперт в подготовке политиков, бизнесменов и общественных деятелей к публичным выступлениям в России и Европе, бизнес-тренер, автор и ведущий дебат-шоу «По чесноку»")</f>
        <v>Эксперт в подготовке политиков, бизнесменов и общественных деятелей к публичным выступлениям в России и Европе, бизнес-тренер, автор и ведущий дебат-шоу «По чесноку»</v>
      </c>
    </row>
    <row r="72" spans="1:3" ht="12.75" x14ac:dyDescent="0.2">
      <c r="A72" s="1"/>
      <c r="B72" s="8" t="str">
        <f ca="1">IFERROR(__xludf.DUMMYFUNCTION("""COMPUTED_VALUE"""),"Анастасия Сорокина")</f>
        <v>Анастасия Сорокина</v>
      </c>
      <c r="C72" s="1" t="str">
        <f ca="1">IFERROR(__xludf.DUMMYFUNCTION("""COMPUTED_VALUE"""),"- Управляющий партнер компании Бизнес- Актив, торговое финансирование импорта
- Эксперт-практик в области международной торговли с 2004 года
- Проводит комплексное консультирование и сопровождение работы с поставщиками Азии, Европы, США
- Экс-директор про"&amp;"изводства «Экспедиции» на территории Китая")</f>
        <v>- Управляющий партнер компании Бизнес- Актив, торговое финансирование импорта
- Эксперт-практик в области международной торговли с 2004 года
- Проводит комплексное консультирование и сопровождение работы с поставщиками Азии, Европы, США
- Экс-директор производства «Экспедиции» на территории Китая</v>
      </c>
    </row>
    <row r="73" spans="1:3" ht="12.75" x14ac:dyDescent="0.2">
      <c r="A73" s="1"/>
      <c r="B73" s="8" t="str">
        <f ca="1">IFERROR(__xludf.DUMMYFUNCTION("""COMPUTED_VALUE"""),"Анастасия Сорокина
Сергей Алмазов")</f>
        <v>Анастасия Сорокина
Сергей Алмазов</v>
      </c>
      <c r="C73" s="1"/>
    </row>
    <row r="74" spans="1:3" ht="12.75" x14ac:dyDescent="0.2">
      <c r="A74" s="1"/>
      <c r="B74" s="8" t="str">
        <f ca="1">IFERROR(__xludf.DUMMYFUNCTION("""COMPUTED_VALUE"""),"Анастасия Фирсова")</f>
        <v>Анастасия Фирсова</v>
      </c>
      <c r="C74" s="1" t="str">
        <f ca="1">IFERROR(__xludf.DUMMYFUNCTION("""COMPUTED_VALUE"""),"- Эксперт в создании и развитии YouTube каналов для бизнеса и привлечения Клиентов из YouTube
- Среди клиентов: Игорь Рыбаков, Клуб «Эквиум», Like Центр
- Финалист регионального этапа конкурса «Молодой предприниматель 2020 г.» в номинации «Интернет Предпр"&amp;"инимательство»
- Спикер федеральных программ и форумов")</f>
        <v>- Эксперт в создании и развитии YouTube каналов для бизнеса и привлечения Клиентов из YouTube
- Среди клиентов: Игорь Рыбаков, Клуб «Эквиум», Like Центр
- Финалист регионального этапа конкурса «Молодой предприниматель 2020 г.» в номинации «Интернет Предпринимательство»
- Спикер федеральных программ и форумов</v>
      </c>
    </row>
    <row r="75" spans="1:3" ht="12.75" x14ac:dyDescent="0.2">
      <c r="A75" s="1"/>
      <c r="B75" s="8" t="str">
        <f ca="1">IFERROR(__xludf.DUMMYFUNCTION("""COMPUTED_VALUE"""),"Анатолий Мовшович")</f>
        <v>Анатолий Мовшович</v>
      </c>
      <c r="C75" s="1" t="str">
        <f ca="1">IFERROR(__xludf.DUMMYFUNCTION("""COMPUTED_VALUE"""),"- Социальный предприниматель
- Основатель и руководитель проекта «Мир на ощупь»: трудоустроен 41 человек с ОВЗ, годовой оборот компании более 14 000 000 рублей, лауреат Всероссийского конкурса «Лучший социальный проект» 
- Победитель конкурса «Доброволец "&amp;"России 2019», Лауреат премии «Эксперт Северо-Запад “КСО”»
- В качестве эксперта выступал на международных форумах: «ПМЭФ», «РИФ», «Международный форум добровольцев», «Международный форум труда»
- Опыт наставничества более пяти лет")</f>
        <v>- Социальный предприниматель
- Основатель и руководитель проекта «Мир на ощупь»: трудоустроен 41 человек с ОВЗ, годовой оборот компании более 14 000 000 рублей, лауреат Всероссийского конкурса «Лучший социальный проект» 
- Победитель конкурса «Доброволец России 2019», Лауреат премии «Эксперт Северо-Запад “КСО”»
- В качестве эксперта выступал на международных форумах: «ПМЭФ», «РИФ», «Международный форум добровольцев», «Международный форум труда»
- Опыт наставничества более пяти лет</v>
      </c>
    </row>
    <row r="76" spans="1:3" ht="12.75" x14ac:dyDescent="0.2">
      <c r="A76" s="1"/>
      <c r="B76" s="8" t="str">
        <f ca="1">IFERROR(__xludf.DUMMYFUNCTION("""COMPUTED_VALUE"""),"Андрей Кавун")</f>
        <v>Андрей Кавун</v>
      </c>
      <c r="C76" s="1" t="str">
        <f ca="1">IFERROR(__xludf.DUMMYFUNCTION("""COMPUTED_VALUE"""),"- Генеральный Директор и партнер ООО «Архитектура спорта»
- Директор международных соревнований по триатлону IronStar
- Директор международного фестиваля бега Rosa Run")</f>
        <v>- Генеральный Директор и партнер ООО «Архитектура спорта»
- Директор международных соревнований по триатлону IronStar
- Директор международного фестиваля бега Rosa Run</v>
      </c>
    </row>
    <row r="77" spans="1:3" ht="12.75" x14ac:dyDescent="0.2">
      <c r="A77" s="1"/>
      <c r="B77" s="8" t="str">
        <f ca="1">IFERROR(__xludf.DUMMYFUNCTION("""COMPUTED_VALUE"""),"Андрей Шарков")</f>
        <v>Андрей Шарков</v>
      </c>
      <c r="C77" s="1" t="str">
        <f ca="1">IFERROR(__xludf.DUMMYFUNCTION("""COMPUTED_VALUE"""),"- Основатель и владелец шоколадной фабрики ShokoBox с общим оборотом 165 млн. рублей в год
- Управляющий партнер комплекса «Тихая долина» 
- С 2011 по 2018 выпускал самый скачиваемый русскоязычный аудио подкаст «Берись и делай»
- Призер международной прем"&amp;"ии в области предпринимательства GSEA
- Финалист конкурса «Шеф года» (The Chief)
- Посетил 46 стран, яхтсмен, байкер")</f>
        <v>- Основатель и владелец шоколадной фабрики ShokoBox с общим оборотом 165 млн. рублей в год
- Управляющий партнер комплекса «Тихая долина» 
- С 2011 по 2018 выпускал самый скачиваемый русскоязычный аудио подкаст «Берись и делай»
- Призер международной премии в области предпринимательства GSEA
- Финалист конкурса «Шеф года» (The Chief)
- Посетил 46 стран, яхтсмен, байкер</v>
      </c>
    </row>
    <row r="78" spans="1:3" ht="12.75" x14ac:dyDescent="0.2">
      <c r="A78" s="1"/>
      <c r="B78" s="8" t="str">
        <f ca="1">IFERROR(__xludf.DUMMYFUNCTION("""COMPUTED_VALUE"""),"Анна Бочарова")</f>
        <v>Анна Бочарова</v>
      </c>
      <c r="C78" s="1" t="str">
        <f ca="1">IFERROR(__xludf.DUMMYFUNCTION("""COMPUTED_VALUE"""),"- Практик в области организации продаж и развитии бизнеса компаний с 2000 года 
- B2B-предприниматель (контрактное производство, экспортные продажи)
- Корпоративный организационный консультант, работает с лидерами рынков (ГК «ЭКСМО», «Аскона», «Ингосстрах"&amp;"», «Алроса», «Газпром-Нефть», «Л'этуаль» и др.)
- Консультант венчурных проектов в «РВК» и экспортных акселераторах, эксперт по диверсификации бизнеса 
- Автор бестселлеров: «Розничный магазин. С чего начать, как преуспеть», «Управление для НЕначинающих»,"&amp;" «Настольная книга карьериста», «Эффективный отдел продаж: стратегия, тактика, персонал»")</f>
        <v>- Практик в области организации продаж и развитии бизнеса компаний с 2000 года 
- B2B-предприниматель (контрактное производство, экспортные продажи)
- Корпоративный организационный консультант, работает с лидерами рынков (ГК «ЭКСМО», «Аскона», «Ингосстрах», «Алроса», «Газпром-Нефть», «Л'этуаль» и др.)
- Консультант венчурных проектов в «РВК» и экспортных акселераторах, эксперт по диверсификации бизнеса 
- Автор бестселлеров: «Розничный магазин. С чего начать, как преуспеть», «Управление для НЕначинающих», «Настольная книга карьериста», «Эффективный отдел продаж: стратегия, тактика, персонал»</v>
      </c>
    </row>
    <row r="79" spans="1:3" ht="12.75" x14ac:dyDescent="0.2">
      <c r="A79" s="1"/>
      <c r="B79" s="8" t="str">
        <f ca="1">IFERROR(__xludf.DUMMYFUNCTION("""COMPUTED_VALUE"""),"Анна Вострикова")</f>
        <v>Анна Вострикова</v>
      </c>
      <c r="C79" s="1" t="str">
        <f ca="1">IFERROR(__xludf.DUMMYFUNCTION("""COMPUTED_VALUE"""),"- Директор по маркетингу и развитию бренда «Экспедиция»
- 10 лет опыта в PR и Маркетинг коммуникациях
- Работа с более 50 проектами в области общественного питания и life style, среди которых рестораны ГК Аркадия Новикова, фермерский ресторан LavkaLavka, "&amp;"Профессиональный Ресторанный Альянс, Бренд «Елена Савчук» - лучшая женщина шеф-повар по версии желтого гида Gault&amp;Millau. В том числе опыт в крупных корпорациях, как РЖД, Мосцветторг и др.
- Образование: МГУ, Лондонская Школа PR и специальная практика по "&amp;"стратегическому мышлению в ВШЭ")</f>
        <v>- Директор по маркетингу и развитию бренда «Экспедиция»
- 10 лет опыта в PR и Маркетинг коммуникациях
- Работа с более 50 проектами в области общественного питания и life style, среди которых рестораны ГК Аркадия Новикова, фермерский ресторан LavkaLavka, Профессиональный Ресторанный Альянс, Бренд «Елена Савчук» - лучшая женщина шеф-повар по версии желтого гида Gault&amp;Millau. В том числе опыт в крупных корпорациях, как РЖД, Мосцветторг и др.
- Образование: МГУ, Лондонская Школа PR и специальная практика по стратегическому мышлению в ВШЭ</v>
      </c>
    </row>
    <row r="80" spans="1:3" ht="12.75" x14ac:dyDescent="0.2">
      <c r="A80" s="1"/>
      <c r="B80" s="8" t="str">
        <f ca="1">IFERROR(__xludf.DUMMYFUNCTION("""COMPUTED_VALUE"""),"Анна Ковтун")</f>
        <v>Анна Ковтун</v>
      </c>
      <c r="C80" s="1" t="str">
        <f ca="1">IFERROR(__xludf.DUMMYFUNCTION("""COMPUTED_VALUE"""),"- Основатель собственных компаний и маркетолог-партнер &gt;20 компаний
- Бизнес-стратег на маркетплейсах(Wildberries, Ozon)
- Помогла заработать своим клиентам более1 млрд. руб
- Более 12 лет в маркетинге
- Экс ТОП маркетолог федеральной компании ЭФКО
- Орга"&amp;"низатор Первой всероссийскойконференции «Как зарабатывать намаркетплейсах» 1300 участников")</f>
        <v>- Основатель собственных компаний и маркетолог-партнер &gt;20 компаний
- Бизнес-стратег на маркетплейсах(Wildberries, Ozon)
- Помогла заработать своим клиентам более1 млрд. руб
- Более 12 лет в маркетинге
- Экс ТОП маркетолог федеральной компании ЭФКО
- Организатор Первой всероссийскойконференции «Как зарабатывать намаркетплейсах» 1300 участников</v>
      </c>
    </row>
    <row r="81" spans="1:3" ht="12.75" x14ac:dyDescent="0.2">
      <c r="A81" s="1"/>
      <c r="B81" s="8" t="str">
        <f ca="1">IFERROR(__xludf.DUMMYFUNCTION("""COMPUTED_VALUE"""),"Анна Кулик")</f>
        <v>Анна Кулик</v>
      </c>
      <c r="C81" s="1"/>
    </row>
    <row r="82" spans="1:3" ht="12.75" x14ac:dyDescent="0.2">
      <c r="A82" s="1"/>
      <c r="B82" s="8" t="str">
        <f ca="1">IFERROR(__xludf.DUMMYFUNCTION("""COMPUTED_VALUE"""),"Анна Московцева")</f>
        <v>Анна Московцева</v>
      </c>
      <c r="C82" s="1" t="str">
        <f ca="1">IFERROR(__xludf.DUMMYFUNCTION("""COMPUTED_VALUE"""),"- Основатель бюро стилистов, в котором занимаются разбором гардероба и шопингом
- Оформляла витрины Uterque, Zara
- Консультант по стилю")</f>
        <v>- Основатель бюро стилистов, в котором занимаются разбором гардероба и шопингом
- Оформляла витрины Uterque, Zara
- Консультант по стилю</v>
      </c>
    </row>
    <row r="83" spans="1:3" ht="12.75" x14ac:dyDescent="0.2">
      <c r="A83" s="1"/>
      <c r="B83" s="8" t="str">
        <f ca="1">IFERROR(__xludf.DUMMYFUNCTION("""COMPUTED_VALUE"""),"Анна Соколова")</f>
        <v>Анна Соколова</v>
      </c>
      <c r="C83" s="1" t="str">
        <f ca="1">IFERROR(__xludf.DUMMYFUNCTION("""COMPUTED_VALUE"""),"- Управляющий партнер Бизнес-школа Персона
- Старший преподаватель по финансовому менеджменту
- Совладелец имидж-лаборатории Персона")</f>
        <v>- Управляющий партнер Бизнес-школа Персона
- Старший преподаватель по финансовому менеджменту
- Совладелец имидж-лаборатории Персона</v>
      </c>
    </row>
    <row r="84" spans="1:3" ht="12.75" x14ac:dyDescent="0.2">
      <c r="A84" s="1"/>
      <c r="B84" s="8" t="str">
        <f ca="1">IFERROR(__xludf.DUMMYFUNCTION("""COMPUTED_VALUE"""),"Аношина Елена
Ельчанинова Юлия")</f>
        <v>Аношина Елена
Ельчанинова Юлия</v>
      </c>
      <c r="C84" s="1" t="str">
        <f ca="1">IFERROR(__xludf.DUMMYFUNCTION("""COMPUTED_VALUE"""),"-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Сооснова"&amp;"тель и генеральный директор первого Сервис-дизайн агентства в России
- Путешественник, поднялась на мачту барка Крузенштерн в августе 2019
- Эксперт в области дизайна клиентского опыта, исследователь, фасилитатор. 
- Преподаватель программ МГУ им. Ломон"&amp;"осова «Креативные техники для создания новых продуктов и услуг» и Британской высшей школы дизайна «Дизайн-мышление»")</f>
        <v>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Сооснователь и генеральный директор первого Сервис-дизайн агентства в России
- Путешественник, поднялась на мачту барка Крузенштерн в августе 2019
- Эксперт в области дизайна клиентского опыта, исследователь, фасилитатор. 
- Преподаватель программ МГУ им. Ломоносова «Креативные техники для создания новых продуктов и услуг» и Британской высшей школы дизайна «Дизайн-мышление»</v>
      </c>
    </row>
    <row r="85" spans="1:3" ht="12.75" x14ac:dyDescent="0.2">
      <c r="A85" s="1"/>
      <c r="B85" s="8" t="str">
        <f ca="1">IFERROR(__xludf.DUMMYFUNCTION("""COMPUTED_VALUE"""),"Аношина Елена
Трубицын Вадим")</f>
        <v>Аношина Елена
Трубицын Вадим</v>
      </c>
      <c r="C85" s="1" t="str">
        <f ca="1">IFERROR(__xludf.DUMMYFUNCTION("""COMPUTED_VALUE"""),"-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Сооснова"&amp;"тель и генеральный директор первого Сервис-дизайн агентства в России
- Путешественник, поднялась на мачту барка Крузенштерн
- Предприниматель, запустил и продал 3 федеральных сети
- Соучредитель сетей ""Мультистория"", ""Натяжнофф"" и «Power Club»
- Тре"&amp;"нер по развитию компаний, масштабированию и франчайзингу
- Эксперт по стратегическому развитию и масштабированию компаний
- Победитель Всероссийского конкурса проектов - IPRA-PRoba GWA")</f>
        <v>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Сооснователь и генеральный директор первого Сервис-дизайн агентства в России
- Путешественник, поднялась на мачту барка Крузенштерн
- Предприниматель, запустил и продал 3 федеральных сети
- Соучредитель сетей "Мультистория", "Натяжнофф" и «Power Club»
- Тренер по развитию компаний, масштабированию и франчайзингу
- Эксперт по стратегическому развитию и масштабированию компаний
- Победитель Всероссийского конкурса проектов - IPRA-PRoba GWA</v>
      </c>
    </row>
    <row r="86" spans="1:3" ht="12.75" x14ac:dyDescent="0.2">
      <c r="A86" s="1"/>
      <c r="B86" s="8" t="str">
        <f ca="1">IFERROR(__xludf.DUMMYFUNCTION("""COMPUTED_VALUE"""),"Аношина Елена
Шипилова Наталья")</f>
        <v>Аношина Елена
Шипилова Наталья</v>
      </c>
      <c r="C86" s="1" t="str">
        <f ca="1">IFERROR(__xludf.DUMMYFUNCTION("""COMPUTED_VALUE"""),"-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Сооснова"&amp;"тель и генеральный директор первого Сервис-дизайн агентства в России
- Путешественник, поднялась на мачту барка Крузенштерн в августе 2019
- Магистр Гуманитарных наук: Master of Art, Digital Media Management, Hyper Island, Teesside University, Манчестер,"&amp;" Великобритания
- Применение дизайн-мышления и сервис-дизайна в создании и продвижении продукта/сервиса в России и Европе (KPMG, Yandex, Mars, HBC Coca-Cola и пр.)
- Сооснователь проекта The Museum of Me в Европе")</f>
        <v>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Сооснователь и генеральный директор первого Сервис-дизайн агентства в России
- Путешественник, поднялась на мачту барка Крузенштерн в августе 2019
- Магистр Гуманитарных наук: Master of Art, Digital Media Management, Hyper Island, Teesside University, Манчестер, Великобритания
- Применение дизайн-мышления и сервис-дизайна в создании и продвижении продукта/сервиса в России и Европе (KPMG, Yandex, Mars, HBC Coca-Cola и пр.)
- Сооснователь проекта The Museum of Me в Европе</v>
      </c>
    </row>
    <row r="87" spans="1:3" ht="12.75" x14ac:dyDescent="0.2">
      <c r="A87" s="1"/>
      <c r="B87" s="8" t="str">
        <f ca="1">IFERROR(__xludf.DUMMYFUNCTION("""COMPUTED_VALUE"""),"Антон Костриченко")</f>
        <v>Антон Костриченко</v>
      </c>
      <c r="C87" s="1" t="str">
        <f ca="1">IFERROR(__xludf.DUMMYFUNCTION("""COMPUTED_VALUE"""),"- Владелец маркетингового агентства SHEER (500+ проектов по созданию и продвижению сайтов за 9 лет)
- Лучший Молодой Предприниматель России 2019
- Бизнес-трекер и наставник
- Путешественник, покорил Эльбрус (6542 м) и Килиманджаро (5989 м). Ультрамарафоне"&amp;"ц (пробежал 840 км за 14 дней) и IRONMAN 226")</f>
        <v>- Владелец маркетингового агентства SHEER (500+ проектов по созданию и продвижению сайтов за 9 лет)
- Лучший Молодой Предприниматель России 2019
- Бизнес-трекер и наставник
- Путешественник, покорил Эльбрус (6542 м) и Килиманджаро (5989 м). Ультрамарафонец (пробежал 840 км за 14 дней) и IRONMAN 226</v>
      </c>
    </row>
    <row r="88" spans="1:3" ht="12.75" x14ac:dyDescent="0.2">
      <c r="A88" s="1"/>
      <c r="B88" s="8" t="str">
        <f ca="1">IFERROR(__xludf.DUMMYFUNCTION("""COMPUTED_VALUE"""),"Артемий Круглов")</f>
        <v>Артемий Круглов</v>
      </c>
      <c r="C88" s="1" t="str">
        <f ca="1">IFERROR(__xludf.DUMMYFUNCTION("""COMPUTED_VALUE"""),"- Head of innovation studio, Visa Moscow 
- Эксперт по созданию и системному развитию продуктов: создал фреймворк системного управления продуктами для подразделений розничного бизнеса Сбербанка
- С командой разработал и внедрил единственный в России автом"&amp;"атизированный инструмент количественной оценки производительности интерфейса по международной методологии GOMS. Это позволило оценить и сделать выполнение финансовых операции в отделениях от 16 до 125% быстрее")</f>
        <v>- Head of innovation studio, Visa Moscow 
- Эксперт по созданию и системному развитию продуктов: создал фреймворк системного управления продуктами для подразделений розничного бизнеса Сбербанка
- С командой разработал и внедрил единственный в России автоматизированный инструмент количественной оценки производительности интерфейса по международной методологии GOMS. Это позволило оценить и сделать выполнение финансовых операции в отделениях от 16 до 125% быстрее</v>
      </c>
    </row>
    <row r="89" spans="1:3" ht="12.75" x14ac:dyDescent="0.2">
      <c r="A89" s="1"/>
      <c r="B89" s="8" t="str">
        <f ca="1">IFERROR(__xludf.DUMMYFUNCTION("""COMPUTED_VALUE"""),"Артур Большаков")</f>
        <v>Артур Большаков</v>
      </c>
      <c r="C89" s="1" t="str">
        <f ca="1">IFERROR(__xludf.DUMMYFUNCTION("""COMPUTED_VALUE"""),"- Адвокат, управляющий партнер в Адвокатском бюро г. Москвы «Большаков, Челышева и партнеры»
- Эксперт при подготовке законопроектов и совершенствовании
уголовного и уголовно-процессуального законодательства
- Эксперт Pro Bono при уполномоченном по защите"&amp;" прав предпринимателей в г. Москве")</f>
        <v>- Адвокат, управляющий партнер в Адвокатском бюро г. Москвы «Большаков, Челышева и партнеры»
- Эксперт при подготовке законопроектов и совершенствовании
уголовного и уголовно-процессуального законодательства
- Эксперт Pro Bono при уполномоченном по защите прав предпринимателей в г. Москве</v>
      </c>
    </row>
    <row r="90" spans="1:3" ht="12.75" x14ac:dyDescent="0.2">
      <c r="A90" s="1"/>
      <c r="B90" s="8" t="str">
        <f ca="1">IFERROR(__xludf.DUMMYFUNCTION("""COMPUTED_VALUE"""),"Бато Дабаев")</f>
        <v>Бато Дабаев</v>
      </c>
      <c r="C90" s="1" t="str">
        <f ca="1">IFERROR(__xludf.DUMMYFUNCTION("""COMPUTED_VALUE"""),"- Руководитель юридической компании ДАБАЕВ и ПАРТНЕРЫ центр защиты бизнеса
- 9 лет практики, автор судебных прецедентов
- Федеральный эксперт-юрист и член экспертной комиссии Госдумы России
- Участник премии «Лучшие юридические департаменты 2019» по верси"&amp;"и Корпоративный юрист")</f>
        <v>- Руководитель юридической компании ДАБАЕВ и ПАРТНЕРЫ центр защиты бизнеса
- 9 лет практики, автор судебных прецедентов
- Федеральный эксперт-юрист и член экспертной комиссии Госдумы России
- Участник премии «Лучшие юридические департаменты 2019» по версии Корпоративный юрист</v>
      </c>
    </row>
    <row r="91" spans="1:3" ht="12.75" x14ac:dyDescent="0.2">
      <c r="A91" s="1"/>
      <c r="B91" s="8" t="str">
        <f ca="1">IFERROR(__xludf.DUMMYFUNCTION("""COMPUTED_VALUE"""),"Биткулова Лилия
Сафонова Людмила")</f>
        <v>Биткулова Лилия
Сафонова Людмила</v>
      </c>
      <c r="C91" s="1" t="str">
        <f ca="1">IFERROR(__xludf.DUMMYFUNCTION("""COMPUTED_VALUE"""),"- Руководитель аккредитованной организации Центр классификации ООО «Звёзды Отелям», Член Совета по классификации Ростуризма, Федеральный эксперт государственной системы классификации, Эксперт рабочей группы регуляторной гильотины «Туризм»
- Член Совета п"&amp;"о туризму Правительства Свердловской области, Эксперт межрегиональной Ассоциации «Сибирское соглашение» по оценке перспективных туристских территорий и межрегиональных туристских маршрутов, Эксперт по сертификации туристских услуг и услуг средств размещен"&amp;"ия")</f>
        <v>- Руководитель аккредитованной организации Центр классификации ООО «Звёзды Отелям», Член Совета по классификации Ростуризма, Федеральный эксперт государственной системы классификации, Эксперт рабочей группы регуляторной гильотины «Туризм»
- Член Совета по туризму Правительства Свердловской области, Эксперт межрегиональной Ассоциации «Сибирское соглашение» по оценке перспективных туристских территорий и межрегиональных туристских маршрутов, Эксперт по сертификации туристских услуг и услуг средств размещения</v>
      </c>
    </row>
    <row r="92" spans="1:3" ht="12.75" x14ac:dyDescent="0.2">
      <c r="A92" s="1"/>
      <c r="B92" s="8" t="str">
        <f ca="1">IFERROR(__xludf.DUMMYFUNCTION("""COMPUTED_VALUE"""),"Вадим Трубицын")</f>
        <v>Вадим Трубицын</v>
      </c>
      <c r="C92" s="1" t="str">
        <f ca="1">IFERROR(__xludf.DUMMYFUNCTION("""COMPUTED_VALUE"""),"- Эксперт в области дизайн-мышления, сервис-дизайна, НЛП-Практик, мастер, сертифицированный тренер Синтон-программы (УЦ «Синтон», Москва)
- Владелец сети общественного питания (10 лет на рынке), тренингового центра «Академия ТимЛайн»
- Бизнес-тренер, коуч"&amp;", гештальт терапевт, педагог-психолог
- Путешественник, покорил Эльбрус (6542 м), Казбек и Фишт")</f>
        <v>- Эксперт в области дизайн-мышления, сервис-дизайна, НЛП-Практик, мастер, сертифицированный тренер Синтон-программы (УЦ «Синтон», Москва)
- Владелец сети общественного питания (10 лет на рынке), тренингового центра «Академия ТимЛайн»
- Бизнес-тренер, коуч, гештальт терапевт, педагог-психолог
- Путешественник, покорил Эльбрус (6542 м), Казбек и Фишт</v>
      </c>
    </row>
    <row r="93" spans="1:3" ht="12.75" x14ac:dyDescent="0.2">
      <c r="A93" s="1"/>
      <c r="B93" s="8" t="str">
        <f ca="1">IFERROR(__xludf.DUMMYFUNCTION("""COMPUTED_VALUE"""),"Валентин Николаенко")</f>
        <v>Валентин Николаенко</v>
      </c>
      <c r="C93" s="1" t="str">
        <f ca="1">IFERROR(__xludf.DUMMYFUNCTION("""COMPUTED_VALUE"""),"- Лучший риск-менеджер России 2020
- Руководитель онлайн-школы RISK-GOOD
- Автор книги «Безупречный риск-менеджмент»
- Степень МВА по специализации «Менеджмент в научно-образовательной сфере»
- Разработчик популярных настольных тренажеров, автор более 50 "&amp;"научных публикаций
- Консультант в областях управления рисками и управления проектами ")</f>
        <v xml:space="preserve">- Лучший риск-менеджер России 2020
- Руководитель онлайн-школы RISK-GOOD
- Автор книги «Безупречный риск-менеджмент»
- Степень МВА по специализации «Менеджмент в научно-образовательной сфере»
- Разработчик популярных настольных тренажеров, автор более 50 научных публикаций
- Консультант в областях управления рисками и управления проектами </v>
      </c>
    </row>
    <row r="94" spans="1:3" ht="12.75" x14ac:dyDescent="0.2">
      <c r="A94" s="1"/>
      <c r="B94" s="8" t="str">
        <f ca="1">IFERROR(__xludf.DUMMYFUNCTION("""COMPUTED_VALUE"""),"Василь Газизулин")</f>
        <v>Василь Газизулин</v>
      </c>
      <c r="C94" s="1" t="str">
        <f ca="1">IFERROR(__xludf.DUMMYFUNCTION("""COMPUTED_VALUE"""),"- Автор книги «Вырасти с франшизой» 
- Сооснователь компании Topfranchise
- Эксперт по экспорту франшиз за рубеж
- Руководитель розничной сети магазинов Экспедиция 2009 -2014 год
- Организатор российского павильона франшиз на международных выставках во Фр"&amp;"анции и Сингапуре
- Forbes колумнист")</f>
        <v>- Автор книги «Вырасти с франшизой» 
- Сооснователь компании Topfranchise
- Эксперт по экспорту франшиз за рубеж
- Руководитель розничной сети магазинов Экспедиция 2009 -2014 год
- Организатор российского павильона франшиз на международных выставках во Франции и Сингапуре
- Forbes колумнист</v>
      </c>
    </row>
    <row r="95" spans="1:3" ht="12.75" x14ac:dyDescent="0.2">
      <c r="A95" s="1"/>
      <c r="B95" s="8" t="str">
        <f ca="1">IFERROR(__xludf.DUMMYFUNCTION("""COMPUTED_VALUE"""),"Вера Круглова")</f>
        <v>Вера Круглова</v>
      </c>
      <c r="C95" s="1" t="str">
        <f ca="1">IFERROR(__xludf.DUMMYFUNCTION("""COMPUTED_VALUE"""),"- Стилист, визажист, парикмахер
- Преподаватель Школы стилистов Персона
- Участник проектов на ТВ, съемках рекламы, конкурсах
- Соавтор коллекции VOK 2021")</f>
        <v>- Стилист, визажист, парикмахер
- Преподаватель Школы стилистов Персона
- Участник проектов на ТВ, съемках рекламы, конкурсах
- Соавтор коллекции VOK 2021</v>
      </c>
    </row>
    <row r="96" spans="1:3" ht="12.75" x14ac:dyDescent="0.2">
      <c r="A96" s="1"/>
      <c r="B96" s="8" t="str">
        <f ca="1">IFERROR(__xludf.DUMMYFUNCTION("""COMPUTED_VALUE"""),"Вера Семенова")</f>
        <v>Вера Семенова</v>
      </c>
      <c r="C96" s="1"/>
    </row>
    <row r="97" spans="1:3" ht="12.75" x14ac:dyDescent="0.2">
      <c r="A97" s="1"/>
      <c r="B97" s="8" t="str">
        <f ca="1">IFERROR(__xludf.DUMMYFUNCTION("""COMPUTED_VALUE"""),"Виктор Комаров")</f>
        <v>Виктор Комаров</v>
      </c>
      <c r="C97" s="1" t="str">
        <f ca="1">IFERROR(__xludf.DUMMYFUNCTION("""COMPUTED_VALUE"""),"- Основатель и CEO платформы мессенджер-маркетинга IntellectDialog
- В 2019 году команда автоматизировала более 1 млн. взаимодействий в мессенджерах,
для компаний: Капитал Медицинское Страхование, Сеть
медицинских центров «Доктор Рядом», Самокат, Purina, "&amp;"Алекс Фитнес, World
Gym, X-Fit, Персона ЛАБ
- Опыт работы в Digital-маркетинге более 10 лет
- Разработал маркетинговую стратегию для ВШЭ")</f>
        <v>- Основатель и CEO платформы мессенджер-маркетинга IntellectDialog
- В 2019 году команда автоматизировала более 1 млн. взаимодействий в мессенджерах,
для компаний: Капитал Медицинское Страхование, Сеть
медицинских центров «Доктор Рядом», Самокат, Purina, Алекс Фитнес, World
Gym, X-Fit, Персона ЛАБ
- Опыт работы в Digital-маркетинге более 10 лет
- Разработал маркетинговую стратегию для ВШЭ</v>
      </c>
    </row>
    <row r="98" spans="1:3" ht="12.75" x14ac:dyDescent="0.2">
      <c r="A98" s="1"/>
      <c r="B98" s="8" t="str">
        <f ca="1">IFERROR(__xludf.DUMMYFUNCTION("""COMPUTED_VALUE"""),"Виктор Ляшевский")</f>
        <v>Виктор Ляшевский</v>
      </c>
      <c r="C98" s="1" t="str">
        <f ca="1">IFERROR(__xludf.DUMMYFUNCTION("""COMPUTED_VALUE"""),"- Предприниматель, запустил и продал 3 федеральных сети
- Соучредитель сетей «Мультистория», «Натяжнофф» и «Power Club»
- Тренер по развитию компаний, масштабированию и франчайзингу
- Эксперт по стратегическому развитию и масштабированию компаний
- Победи"&amp;"тель Всероссийского конкурса проектов - IPRA-PRoba GWA
")</f>
        <v xml:space="preserve">- Предприниматель, запустил и продал 3 федеральных сети
- Соучредитель сетей «Мультистория», «Натяжнофф» и «Power Club»
- Тренер по развитию компаний, масштабированию и франчайзингу
- Эксперт по стратегическому развитию и масштабированию компаний
- Победитель Всероссийского конкурса проектов - IPRA-PRoba GWA
</v>
      </c>
    </row>
    <row r="99" spans="1:3" ht="12.75" x14ac:dyDescent="0.2">
      <c r="A99" s="1"/>
      <c r="B99" s="8" t="str">
        <f ca="1">IFERROR(__xludf.DUMMYFUNCTION("""COMPUTED_VALUE"""),"Виктор Пильников")</f>
        <v>Виктор Пильников</v>
      </c>
      <c r="C99" s="1" t="str">
        <f ca="1">IFERROR(__xludf.DUMMYFUNCTION("""COMPUTED_VALUE"""),"- Управляющий партнёр ООО «Межрегиональный Деловой Консалтинг»
- Взыскал в суде и сохранил своим клиентам более 500 млн руб.
- Уходил три раза в провал в бизнесе и терял не один десяток миллионов рублей, но выходил из кризиса и увеличивал свой капитал в н"&amp;"есколько раз
- Успешно разрешил более 10 крупных корпоративных конфликтов на общую сумму более 1 млрд руб.
")</f>
        <v xml:space="preserve">- Управляющий партнёр ООО «Межрегиональный Деловой Консалтинг»
- Взыскал в суде и сохранил своим клиентам более 500 млн руб.
- Уходил три раза в провал в бизнесе и терял не один десяток миллионов рублей, но выходил из кризиса и увеличивал свой капитал в несколько раз
- Успешно разрешил более 10 крупных корпоративных конфликтов на общую сумму более 1 млрд руб.
</v>
      </c>
    </row>
    <row r="100" spans="1:3" ht="12.75" x14ac:dyDescent="0.2">
      <c r="A100" s="1"/>
      <c r="B100" s="8" t="str">
        <f ca="1">IFERROR(__xludf.DUMMYFUNCTION("""COMPUTED_VALUE"""),"Виктор Соколов")</f>
        <v>Виктор Соколов</v>
      </c>
      <c r="C100" s="1" t="str">
        <f ca="1">IFERROR(__xludf.DUMMYFUNCTION("""COMPUTED_VALUE"""),"- Руководитель Управляющей компании Персона Менеджмент
- Совладелец имидж-лаборатории Персона")</f>
        <v>- Руководитель Управляющей компании Персона Менеджмент
- Совладелец имидж-лаборатории Персона</v>
      </c>
    </row>
    <row r="101" spans="1:3" ht="12.75" x14ac:dyDescent="0.2">
      <c r="A101" s="1"/>
      <c r="B101" s="8" t="str">
        <f ca="1">IFERROR(__xludf.DUMMYFUNCTION("""COMPUTED_VALUE"""),"Виктория Байбородова")</f>
        <v>Виктория Байбородова</v>
      </c>
      <c r="C101" s="1" t="str">
        <f ca="1">IFERROR(__xludf.DUMMYFUNCTION("""COMPUTED_VALUE"""),"- Технолог компании Кинетикс (National Educator of Academy Kinetics)
- Ведущий преподаватель по маникюру, моделированию ногтей гелевой и акриловой
технологии Оле Хаус (2005-2018)
- National Educator Kinetics Nail Academy 16 лет стажа
- Многократный победи"&amp;"тель Российских и Международных конкурсов по моделированию ногтей, в т.ч.: Nail Nations League (Roma) 1 место French
Sculptured Acrylic, 1 место French Sculptured Gel
- 1 место Финал 3 Чемпионата по моделированию NAILEXPO")</f>
        <v>- Технолог компании Кинетикс (National Educator of Academy Kinetics)
- Ведущий преподаватель по маникюру, моделированию ногтей гелевой и акриловой
технологии Оле Хаус (2005-2018)
- National Educator Kinetics Nail Academy 16 лет стажа
- Многократный победитель Российских и Международных конкурсов по моделированию ногтей, в т.ч.: Nail Nations League (Roma) 1 место French
Sculptured Acrylic, 1 место French Sculptured Gel
- 1 место Финал 3 Чемпионата по моделированию NAILEXPO</v>
      </c>
    </row>
    <row r="102" spans="1:3" ht="12.75" x14ac:dyDescent="0.2">
      <c r="A102" s="1"/>
      <c r="B102" s="8" t="str">
        <f ca="1">IFERROR(__xludf.DUMMYFUNCTION("""COMPUTED_VALUE"""),"Владимир Ванин")</f>
        <v>Владимир Ванин</v>
      </c>
      <c r="C102" s="1" t="str">
        <f ca="1">IFERROR(__xludf.DUMMYFUNCTION("""COMPUTED_VALUE"""),"Бизнес-тренер, основатель завода камня «НЕОЛИТ»")</f>
        <v>Бизнес-тренер, основатель завода камня «НЕОЛИТ»</v>
      </c>
    </row>
    <row r="103" spans="1:3" ht="12.75" x14ac:dyDescent="0.2">
      <c r="A103" s="1"/>
      <c r="B103" s="8" t="str">
        <f ca="1">IFERROR(__xludf.DUMMYFUNCTION("""COMPUTED_VALUE"""),"Владимир Волошин")</f>
        <v>Владимир Волошин</v>
      </c>
      <c r="C103" s="1" t="str">
        <f ca="1">IFERROR(__xludf.DUMMYFUNCTION("""COMPUTED_VALUE"""),"- Управляющий партнер Newman Sport &amp; Business Consulting
- Сооснователь международных соревнований по триатлону IRONSTAR и Фестиваля бега ROSA RUN
")</f>
        <v xml:space="preserve">- Управляющий партнер Newman Sport &amp; Business Consulting
- Сооснователь международных соревнований по триатлону IRONSTAR и Фестиваля бега ROSA RUN
</v>
      </c>
    </row>
    <row r="104" spans="1:3" ht="12.75" x14ac:dyDescent="0.2">
      <c r="A104" s="1"/>
      <c r="B104" s="8" t="str">
        <f ca="1">IFERROR(__xludf.DUMMYFUNCTION("""COMPUTED_VALUE"""),"Владимир Дружинин")</f>
        <v>Владимир Дружинин</v>
      </c>
      <c r="C104" s="1" t="str">
        <f ca="1">IFERROR(__xludf.DUMMYFUNCTION("""COMPUTED_VALUE"""),"- Более 15 лет в профессии барбера
- Опыт работы в салонах ""Персона"" более 10 лет, преподаватель Школы стилистов Персона более 5 лет
- Образование: Toni Guy, Vidal Sassoon
- Постоянный участник семинаров по повышению квалификации мужских мастеров
- С"&amp;"оздатель авторской техники стрижки
- Основатель академии парикмахерского искусства Glow Education
- Представитель и амбассадор компании Kintaro в России
- Амбассадор Wahl и Moser")</f>
        <v>- Более 15 лет в профессии барбера
- Опыт работы в салонах "Персона" более 10 лет, преподаватель Школы стилистов Персона более 5 лет
- Образование: Toni Guy, Vidal Sassoon
- Постоянный участник семинаров по повышению квалификации мужских мастеров
- Создатель авторской техники стрижки
- Основатель академии парикмахерского искусства Glow Education
- Представитель и амбассадор компании Kintaro в России
- Амбассадор Wahl и Moser</v>
      </c>
    </row>
    <row r="105" spans="1:3" ht="12.75" x14ac:dyDescent="0.2">
      <c r="A105" s="1"/>
      <c r="B105" s="8" t="str">
        <f ca="1">IFERROR(__xludf.DUMMYFUNCTION("""COMPUTED_VALUE"""),"Владимир Жиганов")</f>
        <v>Владимир Жиганов</v>
      </c>
      <c r="C105" s="1" t="str">
        <f ca="1">IFERROR(__xludf.DUMMYFUNCTION("""COMPUTED_VALUE"""),"- Генеральный директор международной сети интерактивных развлечений Клаустрофобия
- Советник по частным инвестициям А.В. Ручьёва (основателя компании Мортон)
- Экс-директор по созданию и развитию проектов цифровой экономики ГК «Основа»
- Третейский судья
"&amp;"- Член торгово-промышленной палаты России
- Член экспертного совета по иностранным инвестициям Федеральной антимонопольной службы России")</f>
        <v>- Генеральный директор международной сети интерактивных развлечений Клаустрофобия
- Советник по частным инвестициям А.В. Ручьёва (основателя компании Мортон)
- Экс-директор по созданию и развитию проектов цифровой экономики ГК «Основа»
- Третейский судья
- Член торгово-промышленной палаты России
- Член экспертного совета по иностранным инвестициям Федеральной антимонопольной службы России</v>
      </c>
    </row>
    <row r="106" spans="1:3" ht="12.75" x14ac:dyDescent="0.2">
      <c r="A106" s="1"/>
      <c r="B106" s="8" t="str">
        <f ca="1">IFERROR(__xludf.DUMMYFUNCTION("""COMPUTED_VALUE"""),"Владимир Панфилов")</f>
        <v>Владимир Панфилов</v>
      </c>
      <c r="C106" s="1" t="str">
        <f ca="1">IFERROR(__xludf.DUMMYFUNCTION("""COMPUTED_VALUE"""),"- Руководитель службы внедрения CRM систем компании «makeROI»
- Руководитель поддержки CRM систем
- Эксперт по систематизации, внедрил CRM в более 50 компаний
- Спикер на конференции CRMDAY от amoCRM
- Практикующий медитатор, более 2000 часов медитации")</f>
        <v>- Руководитель службы внедрения CRM систем компании «makeROI»
- Руководитель поддержки CRM систем
- Эксперт по систематизации, внедрил CRM в более 50 компаний
- Спикер на конференции CRMDAY от amoCRM
- Практикующий медитатор, более 2000 часов медитации</v>
      </c>
    </row>
    <row r="107" spans="1:3" ht="12.75" x14ac:dyDescent="0.2">
      <c r="A107" s="1"/>
      <c r="B107" s="8" t="str">
        <f ca="1">IFERROR(__xludf.DUMMYFUNCTION("""COMPUTED_VALUE"""),"Вячеслав Семенчук")</f>
        <v>Вячеслав Семенчук</v>
      </c>
      <c r="C107" s="1" t="str">
        <f ca="1">IFERROR(__xludf.DUMMYFUNCTION("""COMPUTED_VALUE"""),"Специалист №1 по запуску и оптимизации бизнесов, основатель компании «Лайф пэй»")</f>
        <v>Специалист №1 по запуску и оптимизации бизнесов, основатель компании «Лайф пэй»</v>
      </c>
    </row>
    <row r="108" spans="1:3" ht="12.75" x14ac:dyDescent="0.2">
      <c r="A108" s="1"/>
      <c r="B108" s="8" t="str">
        <f ca="1">IFERROR(__xludf.DUMMYFUNCTION("""COMPUTED_VALUE"""),"Генадий Горбачев")</f>
        <v>Генадий Горбачев</v>
      </c>
      <c r="C108" s="1"/>
    </row>
    <row r="109" spans="1:3" ht="12.75" x14ac:dyDescent="0.2">
      <c r="A109" s="1"/>
      <c r="B109" s="8" t="str">
        <f ca="1">IFERROR(__xludf.DUMMYFUNCTION("""COMPUTED_VALUE"""),"Геннадий Шаталов")</f>
        <v>Геннадий Шаталов</v>
      </c>
      <c r="C109" s="1" t="str">
        <f ca="1">IFERROR(__xludf.DUMMYFUNCTION("""COMPUTED_VALUE"""),"- Председатель Правления ФРОС Region PR
- Член Общественного совета при Федеральном агентстве по туризму, член Регионального совета Российского Союза туриндустрии 
- Основатель Национальной премии в области событийного туризма Russian Event Awards, Всерос"&amp;"сийской туристской премии «Маршрут года», Всероссийского конкурса «Туристический сувенир», Всероссийского конкурса «МедиаТур»
- Президент Премии в области развития общественных связей RuPoR
- Лауреат Национальной премии в области развития общественных свя"&amp;"зей «Серебряный Лучник»
- Лауреат Национальной премии «Медиа-Менеджер России»")</f>
        <v>- Председатель Правления ФРОС Region PR
- Член Общественного совета при Федеральном агентстве по туризму, член Регионального совета Российского Союза туриндустрии 
- Основатель Национальной премии в области событийного туризма Russian Event Awards, Всероссийской туристской премии «Маршрут года», Всероссийского конкурса «Туристический сувенир», Всероссийского конкурса «МедиаТур»
- Президент Премии в области развития общественных связей RuPoR
- Лауреат Национальной премии в области развития общественных связей «Серебряный Лучник»
- Лауреат Национальной премии «Медиа-Менеджер России»</v>
      </c>
    </row>
    <row r="110" spans="1:3" ht="12.75" x14ac:dyDescent="0.2">
      <c r="A110" s="1"/>
      <c r="B110" s="8" t="str">
        <f ca="1">IFERROR(__xludf.DUMMYFUNCTION("""COMPUTED_VALUE"""),"Дарья Корнетова")</f>
        <v>Дарья Корнетова</v>
      </c>
      <c r="C110" s="1" t="str">
        <f ca="1">IFERROR(__xludf.DUMMYFUNCTION("""COMPUTED_VALUE"""),"- Сертифицированный инструктор Kinetics Academy Russia
- Многократный призёр чемпионатов nail-индустрии
- Автор программ nail-design")</f>
        <v>- Сертифицированный инструктор Kinetics Academy Russia
- Многократный призёр чемпионатов nail-индустрии
- Автор программ nail-design</v>
      </c>
    </row>
    <row r="111" spans="1:3" ht="12.75" x14ac:dyDescent="0.2">
      <c r="A111" s="1"/>
      <c r="B111" s="8" t="str">
        <f ca="1">IFERROR(__xludf.DUMMYFUNCTION("""COMPUTED_VALUE"""),"Дарья Манелова")</f>
        <v>Дарья Манелова</v>
      </c>
      <c r="C111" s="1" t="str">
        <f ca="1">IFERROR(__xludf.DUMMYFUNCTION("""COMPUTED_VALUE"""),"Инстамаркетолог, основатель компании Bright Mind")</f>
        <v>Инстамаркетолог, основатель компании Bright Mind</v>
      </c>
    </row>
    <row r="112" spans="1:3" ht="12.75" x14ac:dyDescent="0.2">
      <c r="A112" s="1"/>
      <c r="B112" s="8" t="str">
        <f ca="1">IFERROR(__xludf.DUMMYFUNCTION("""COMPUTED_VALUE"""),"Дарья Чашкина
Александр Богданов
Гор Нахапетян")</f>
        <v>Дарья Чашкина
Александр Богданов
Гор Нахапетян</v>
      </c>
      <c r="C112" s="1" t="str">
        <f ca="1">IFERROR(__xludf.DUMMYFUNCTION("""COMPUTED_VALUE"""),"Дарья Чашкина: старший преподаватель Экономического факультета МГУ
Александр Богданов: Основатель компании AGIMA
Гор Нахапетян: Член координационного совета МШУ Сколково")</f>
        <v>Дарья Чашкина: старший преподаватель Экономического факультета МГУ
Александр Богданов: Основатель компании AGIMA
Гор Нахапетян: Член координационного совета МШУ Сколково</v>
      </c>
    </row>
    <row r="113" spans="1:3" ht="12.75" x14ac:dyDescent="0.2">
      <c r="A113" s="1"/>
      <c r="B113" s="8" t="str">
        <f ca="1">IFERROR(__xludf.DUMMYFUNCTION("""COMPUTED_VALUE"""),"Денис Богатов")</f>
        <v>Денис Богатов</v>
      </c>
      <c r="C113" s="1" t="str">
        <f ca="1">IFERROR(__xludf.DUMMYFUNCTION("""COMPUTED_VALUE"""),"- Директор Центра развития социального предпринимательства РГСУ
- Эксперт Министерства экономического развития РФ
- Автор образовательных программ и тренингов
- Сертифицированный проектный менеджер")</f>
        <v>- Директор Центра развития социального предпринимательства РГСУ
- Эксперт Министерства экономического развития РФ
- Автор образовательных программ и тренингов
- Сертифицированный проектный менеджер</v>
      </c>
    </row>
    <row r="114" spans="1:3" ht="12.75" x14ac:dyDescent="0.2">
      <c r="A114" s="1"/>
      <c r="B114" s="8" t="str">
        <f ca="1">IFERROR(__xludf.DUMMYFUNCTION("""COMPUTED_VALUE"""),"Денис Гермаш")</f>
        <v>Денис Гермаш</v>
      </c>
      <c r="C114" s="1" t="str">
        <f ca="1">IFERROR(__xludf.DUMMYFUNCTION("""COMPUTED_VALUE"""),"- Адвокат, более 10 лет адвокатской практики, 20 лет общей юридической. Защита по уголовным делам, возбужденным в связи с неуплатой налогов
- Член «Деловой России» и Западно-Сибирской Правовой Палаты
- Заместитель руководителя налогового комитета: Тюменск"&amp;"ое региональное отделение Деловой России и ТПП Тюменской области 
")</f>
        <v xml:space="preserve">- Адвокат, более 10 лет адвокатской практики, 20 лет общей юридической. Защита по уголовным делам, возбужденным в связи с неуплатой налогов
- Член «Деловой России» и Западно-Сибирской Правовой Палаты
- Заместитель руководителя налогового комитета: Тюменское региональное отделение Деловой России и ТПП Тюменской области 
</v>
      </c>
    </row>
    <row r="115" spans="1:3" ht="12.75" x14ac:dyDescent="0.2">
      <c r="A115" s="1"/>
      <c r="B115" s="8" t="str">
        <f ca="1">IFERROR(__xludf.DUMMYFUNCTION("""COMPUTED_VALUE"""),"Денис Матис")</f>
        <v>Денис Матис</v>
      </c>
      <c r="C115" s="1" t="str">
        <f ca="1">IFERROR(__xludf.DUMMYFUNCTION("""COMPUTED_VALUE"""),"- Владелец и совладелец ряда проектов, в том числе Семейный детский сад «Капитошка»
- Председатель комиссии по развитию некоммерческого сектора, поддержке НКО и взаимодействию со СМИ Общественной палаты Алтайского края
- Сертифицированный тренер по социал"&amp;"ьному предпринимательству, эксперт «Сибирского пула тренеров»")</f>
        <v>- Владелец и совладелец ряда проектов, в том числе Семейный детский сад «Капитошка»
- Председатель комиссии по развитию некоммерческого сектора, поддержке НКО и взаимодействию со СМИ Общественной палаты Алтайского края
- Сертифицированный тренер по социальному предпринимательству, эксперт «Сибирского пула тренеров»</v>
      </c>
    </row>
    <row r="116" spans="1:3" ht="12.75" x14ac:dyDescent="0.2">
      <c r="A116" s="1"/>
      <c r="B116" s="8" t="str">
        <f ca="1">IFERROR(__xludf.DUMMYFUNCTION("""COMPUTED_VALUE"""),"Дмитрий Карнаухов")</f>
        <v>Дмитрий Карнаухов</v>
      </c>
      <c r="C116" s="1" t="str">
        <f ca="1">IFERROR(__xludf.DUMMYFUNCTION("""COMPUTED_VALUE"""),"- Руководитель кадрового агентства HR365, в работе от 52 до 128 вакансий одновременно
- Более 20 лет опыта работы в сфере Управления персоналом
- Кандидат наук, 2 степени MBA 
- Работал директором по персоналу в компаниях из списка Forbes")</f>
        <v>- Руководитель кадрового агентства HR365, в работе от 52 до 128 вакансий одновременно
- Более 20 лет опыта работы в сфере Управления персоналом
- Кандидат наук, 2 степени MBA 
- Работал директором по персоналу в компаниях из списка Forbes</v>
      </c>
    </row>
    <row r="117" spans="1:3" ht="12.75" x14ac:dyDescent="0.2">
      <c r="A117" s="1"/>
      <c r="B117" s="8" t="str">
        <f ca="1">IFERROR(__xludf.DUMMYFUNCTION("""COMPUTED_VALUE"""),"Дмитрий Кот")</f>
        <v>Дмитрий Кот</v>
      </c>
      <c r="C117" s="1" t="str">
        <f ca="1">IFERROR(__xludf.DUMMYFUNCTION("""COMPUTED_VALUE"""),"- Директор агентства «Убедительный Маркетинг»
- Маркетолог и копирайтер. Специализируется на отстройке от конкурентов и продающих текстах
- Входит в ТОП-40 ключевых персон российского рынка digital-маркетинга и веб-разработки (по версии Tagline)
- Рекорд "&amp;"– текст с эффективностью 20% – каждый пятый читатель становится покупателем
- Среди клиентов Swarovski, Билайн, Мегафон, Aviasales
")</f>
        <v xml:space="preserve">- Директор агентства «Убедительный Маркетинг»
- Маркетолог и копирайтер. Специализируется на отстройке от конкурентов и продающих текстах
- Входит в ТОП-40 ключевых персон российского рынка digital-маркетинга и веб-разработки (по версии Tagline)
- Рекорд – текст с эффективностью 20% – каждый пятый читатель становится покупателем
- Среди клиентов Swarovski, Билайн, Мегафон, Aviasales
</v>
      </c>
    </row>
    <row r="118" spans="1:3" ht="12.75" x14ac:dyDescent="0.2">
      <c r="A118" s="1"/>
      <c r="B118" s="8" t="str">
        <f ca="1">IFERROR(__xludf.DUMMYFUNCTION("""COMPUTED_VALUE"""),"Дмитрий Мещененко")</f>
        <v>Дмитрий Мещененко</v>
      </c>
      <c r="C118" s="1" t="str">
        <f ca="1">IFERROR(__xludf.DUMMYFUNCTION("""COMPUTED_VALUE"""),"- Директор по развитию консалтинговой компании PRO Бизнес, СПб
- 17 лет в продажах, 7 лет в управлении продажами 
- Прошёл путь от торгового представителя до руководителя
- Член Ассоциации Спикеров Санкт-Петербурга
- 12 лет работы в агро-сфере")</f>
        <v>- Директор по развитию консалтинговой компании PRO Бизнес, СПб
- 17 лет в продажах, 7 лет в управлении продажами 
- Прошёл путь от торгового представителя до руководителя
- Член Ассоциации Спикеров Санкт-Петербурга
- 12 лет работы в агро-сфере</v>
      </c>
    </row>
    <row r="119" spans="1:3" ht="12.75" x14ac:dyDescent="0.2">
      <c r="A119" s="1"/>
      <c r="B119" s="8" t="str">
        <f ca="1">IFERROR(__xludf.DUMMYFUNCTION("""COMPUTED_VALUE"""),"Дмитрий Порочкин")</f>
        <v>Дмитрий Порочкин</v>
      </c>
      <c r="C119" s="1" t="str">
        <f ca="1">IFERROR(__xludf.DUMMYFUNCTION("""COMPUTED_VALUE"""),"Соучредитель и генеральный директор Центра Охраны Труда «НСС Консалт». Общественный представитель Уполномоченного по правам предпринимателей Б.Ю.Титова по вопросам соблюдения прав предпринимателей при осуществлении санитарно-эпидемиологического надзора и "&amp;"надзора в сфере соблюдения трудового законодательства")</f>
        <v>Соучредитель и генеральный директор Центра Охраны Труда «НСС Консалт». Общественный представитель Уполномоченного по правам предпринимателей Б.Ю.Титова по вопросам соблюдения прав предпринимателей при осуществлении санитарно-эпидемиологического надзора и надзора в сфере соблюдения трудового законодательства</v>
      </c>
    </row>
    <row r="120" spans="1:3" ht="12.75" x14ac:dyDescent="0.2">
      <c r="A120" s="1"/>
      <c r="B120" s="8" t="str">
        <f ca="1">IFERROR(__xludf.DUMMYFUNCTION("""COMPUTED_VALUE"""),"Дулма Содномова")</f>
        <v>Дулма Содномова</v>
      </c>
      <c r="C120" s="1" t="str">
        <f ca="1">IFERROR(__xludf.DUMMYFUNCTION("""COMPUTED_VALUE"""),"- Председатель Совета Регионального общественного движения «Хранители Байкала»
- Руководитель Центра образования и бизнеса «Ресурс», бизнес-тренер в области лидерства, коммуникации
- Разработчик, автор, модератор стратегических и проектных сессий")</f>
        <v>- Председатель Совета Регионального общественного движения «Хранители Байкала»
- Руководитель Центра образования и бизнеса «Ресурс», бизнес-тренер в области лидерства, коммуникации
- Разработчик, автор, модератор стратегических и проектных сессий</v>
      </c>
    </row>
    <row r="121" spans="1:3" ht="12.75" x14ac:dyDescent="0.2">
      <c r="A121" s="1"/>
      <c r="B121" s="8" t="str">
        <f ca="1">IFERROR(__xludf.DUMMYFUNCTION("""COMPUTED_VALUE"""),"Евгений Малыгин")</f>
        <v>Евгений Малыгин</v>
      </c>
      <c r="C121" s="1" t="str">
        <f ca="1">IFERROR(__xludf.DUMMYFUNCTION("""COMPUTED_VALUE"""),"- Эксперт первого грантового конкурса Ростуризма
- Руководитель всероссийского конкурса «Мастера гостеприимства» Президентской платформы «Россия – страна возможностей»
- Финалист Всероссийского конкурса управленцев «Лидеры России»")</f>
        <v>- Эксперт первого грантового конкурса Ростуризма
- Руководитель всероссийского конкурса «Мастера гостеприимства» Президентской платформы «Россия – страна возможностей»
- Финалист Всероссийского конкурса управленцев «Лидеры России»</v>
      </c>
    </row>
    <row r="122" spans="1:3" ht="12.75" x14ac:dyDescent="0.2">
      <c r="A122" s="1"/>
      <c r="B122" s="8" t="str">
        <f ca="1">IFERROR(__xludf.DUMMYFUNCTION("""COMPUTED_VALUE"""),"Евгения Дмитриева")</f>
        <v>Евгения Дмитриева</v>
      </c>
      <c r="C122" s="1" t="str">
        <f ca="1">IFERROR(__xludf.DUMMYFUNCTION("""COMPUTED_VALUE"""),"- Управляет компанией «Кемппи Россия»
- Эксперт по эффективным коммуникациям, управлению персоналом и развитию бизнеса
- Заинтересовала своей историей успеха Forbes Woman
")</f>
        <v xml:space="preserve">- Управляет компанией «Кемппи Россия»
- Эксперт по эффективным коммуникациям, управлению персоналом и развитию бизнеса
- Заинтересовала своей историей успеха Forbes Woman
</v>
      </c>
    </row>
    <row r="123" spans="1:3" ht="12.75" x14ac:dyDescent="0.2">
      <c r="A123" s="1"/>
      <c r="B123" s="8" t="str">
        <f ca="1">IFERROR(__xludf.DUMMYFUNCTION("""COMPUTED_VALUE"""),"Екатерина Гераскина")</f>
        <v>Екатерина Гераскина</v>
      </c>
      <c r="C123" s="1" t="str">
        <f ca="1">IFERROR(__xludf.DUMMYFUNCTION("""COMPUTED_VALUE"""),"- Основатель «PRO.Этикет»
- Эксперт по деловому позиционированию, протоколу и этикету
- Тренер по наставничеству в предпринимательстве IBLF Russia
- Спикер, модератор и разработчик учебных программ, проектный менеджер и общественный деятель")</f>
        <v>- Основатель «PRO.Этикет»
- Эксперт по деловому позиционированию, протоколу и этикету
- Тренер по наставничеству в предпринимательстве IBLF Russia
- Спикер, модератор и разработчик учебных программ, проектный менеджер и общественный деятель</v>
      </c>
    </row>
    <row r="124" spans="1:3" ht="12.75" x14ac:dyDescent="0.2">
      <c r="A124" s="1"/>
      <c r="B124" s="8" t="str">
        <f ca="1">IFERROR(__xludf.DUMMYFUNCTION("""COMPUTED_VALUE"""),"Екатерина Мартовская")</f>
        <v>Екатерина Мартовская</v>
      </c>
      <c r="C124" s="1"/>
    </row>
    <row r="125" spans="1:3" ht="12.75" x14ac:dyDescent="0.2">
      <c r="A125" s="1"/>
      <c r="B125" s="8" t="str">
        <f ca="1">IFERROR(__xludf.DUMMYFUNCTION("""COMPUTED_VALUE"""),"Екатерина Седова")</f>
        <v>Екатерина Седова</v>
      </c>
      <c r="C125" s="1" t="str">
        <f ca="1">IFERROR(__xludf.DUMMYFUNCTION("""COMPUTED_VALUE"""),"- Теле-радиожурналист, создатель Федеральной Школы Радио (85 городов в РФ и СНГ)
- Руководитель Студии Подкастинга (Москва и Санкт-Петербург)
- Автор подкаста об оружии «Cast About Guns»
- Спикер молодежных всероссийских образовательных форумов («Территор"&amp;"ия Смыслов», «Балтийский Артек»)
- Стрелок IPSC — Международной конфедерации практической стрельбы")</f>
        <v>- Теле-радиожурналист, создатель Федеральной Школы Радио (85 городов в РФ и СНГ)
- Руководитель Студии Подкастинга (Москва и Санкт-Петербург)
- Автор подкаста об оружии «Cast About Guns»
- Спикер молодежных всероссийских образовательных форумов («Территория Смыслов», «Балтийский Артек»)
- Стрелок IPSC — Международной конфедерации практической стрельбы</v>
      </c>
    </row>
    <row r="126" spans="1:3" ht="12.75" x14ac:dyDescent="0.2">
      <c r="A126" s="1"/>
      <c r="B126" s="8" t="str">
        <f ca="1">IFERROR(__xludf.DUMMYFUNCTION("""COMPUTED_VALUE"""),"Елена Аношина")</f>
        <v>Елена Аношина</v>
      </c>
      <c r="C126" s="1" t="str">
        <f ca="1">IFERROR(__xludf.DUMMYFUNCTION("""COMPUTED_VALUE"""),"-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Сооснова"&amp;"тель и генеральный директор первого Сервис-дизайн агентства в России
- Путешественник, поднялась на мачту барка Крузенштерн в августе 2019")</f>
        <v>- Эксперт в области управления клиентским опытом и креативными командами, создании инновационных продуктов
- Преподаватель по дисциплине «Дизайн-мышление» в программе Executive MBA в университете Синергия 
- Сервис-дизайн эксперт в ВШГУ РАНХиГС
- Сооснователь и генеральный директор первого Сервис-дизайн агентства в России
- Путешественник, поднялась на мачту барка Крузенштерн в августе 2019</v>
      </c>
    </row>
    <row r="127" spans="1:3" ht="12.75" x14ac:dyDescent="0.2">
      <c r="A127" s="1"/>
      <c r="B127" s="8" t="str">
        <f ca="1">IFERROR(__xludf.DUMMYFUNCTION("""COMPUTED_VALUE"""),"Елена Аношина
Константин Седов
Роман Дусенко")</f>
        <v>Елена Аношина
Константин Седов
Роман Дусенко</v>
      </c>
      <c r="C127" s="1" t="str">
        <f ca="1">IFERROR(__xludf.DUMMYFUNCTION("""COMPUTED_VALUE"""),"Елена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пр"&amp;"еподавания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п"&amp;"о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пр"&amp;"одюсер и сценарист короткометражных фильмов в компании «ИМПАКТ СИНЕМА Продакшн»
Роман Дусенко
- Эксперт по стратегическим сессиям, бизнес-практик, консультант и коуч
- Председатель Правления, член Совета Директоров, акционер. Руководил слияниями и поглощ"&amp;"ениями российских банков и международных финансовых холдингов. Посвятив 16 лет банковской системе, прошел
путь от управляющего дополнительного офиса до Председателя Правления, совладельца банка
- Провел более 150 тренингов, стратегических сессий и консалт"&amp;"инговых проектов, с 2015 года проводит собственные обучающие программы по управлению людьми #ТолькоВперед")</f>
        <v>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фильмов в компании «ИМПАКТ СИНЕМА Продакшн»
Роман Дусенко
- Эксперт по стратегическим сессиям, бизнес-практик, консультант и коуч
- Председатель Правления, член Совета Директоров, акционер. Руководил слияниями и поглощениями российских банков и международных финансовых холдингов. Посвятив 16 лет банковской системе, прошел
путь от управляющего дополнительного офиса до Председателя Правления, совладельца банка
- Провел более 150 тренингов, стратегических сессий и консалтинговых проектов, с 2015 года проводит собственные обучающие программы по управлению людьми #ТолькоВперед</v>
      </c>
    </row>
    <row r="128" spans="1:3" ht="12.75" x14ac:dyDescent="0.2">
      <c r="A128" s="1"/>
      <c r="B128" s="8" t="str">
        <f ca="1">IFERROR(__xludf.DUMMYFUNCTION("""COMPUTED_VALUE"""),"Елена Белякова")</f>
        <v>Елена Белякова</v>
      </c>
      <c r="C128" s="1" t="str">
        <f ca="1">IFERROR(__xludf.DUMMYFUNCTION("""COMPUTED_VALUE"""),"- Предприниматель с 12-летним опытом
- Основатель 5 успешных компаний с оборотом 144 млн. рублей в год
- Член Ассоциации Спикеров СПб")</f>
        <v>- Предприниматель с 12-летним опытом
- Основатель 5 успешных компаний с оборотом 144 млн. рублей в год
- Член Ассоциации Спикеров СПб</v>
      </c>
    </row>
    <row r="129" spans="1:3" ht="12.75" x14ac:dyDescent="0.2">
      <c r="A129" s="1"/>
      <c r="B129" s="8" t="str">
        <f ca="1">IFERROR(__xludf.DUMMYFUNCTION("""COMPUTED_VALUE"""),"Елена Бойцова")</f>
        <v>Елена Бойцова</v>
      </c>
      <c r="C129" s="1" t="str">
        <f ca="1">IFERROR(__xludf.DUMMYFUNCTION("""COMPUTED_VALUE"""),"- Адвокат
- Председатель Коллегии адвокатов города Москвы «Центр правовых
экспертиз»
- Доктор гражданского права (DCivL Doctor of Civil Law)
- Член-корреспондент Академии имиджелогии")</f>
        <v>- Адвокат
- Председатель Коллегии адвокатов города Москвы «Центр правовых
экспертиз»
- Доктор гражданского права (DCivL Doctor of Civil Law)
- Член-корреспондент Академии имиджелогии</v>
      </c>
    </row>
    <row r="130" spans="1:3" ht="12.75" x14ac:dyDescent="0.2">
      <c r="A130" s="1"/>
      <c r="B130" s="8" t="str">
        <f ca="1">IFERROR(__xludf.DUMMYFUNCTION("""COMPUTED_VALUE"""),"Елена Григолия")</f>
        <v>Елена Григолия</v>
      </c>
      <c r="C130" s="1"/>
    </row>
    <row r="131" spans="1:3" ht="12.75" x14ac:dyDescent="0.2">
      <c r="A131" s="1"/>
      <c r="B131" s="8" t="str">
        <f ca="1">IFERROR(__xludf.DUMMYFUNCTION("""COMPUTED_VALUE"""),"Енова Алена
Сафонова Людмила
Шаталов Геннадий")</f>
        <v>Енова Алена
Сафонова Людмила
Шаталов Геннадий</v>
      </c>
      <c r="C131" s="1" t="str">
        <f ca="1">IFERROR(__xludf.DUMMYFUNCTION("""COMPUTED_VALUE"""),"-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- Член Совета по туризму Правительства Свердловской области. "&amp;"Эксперт по сертификации туристских услуг и услуг средств размещения. Эксперт государственной системы классификации гостиниц
- Председатель Правления ФРОС Region PR, член Общественного совета при Федеральном агентстве по туризму, основатель Национальной пр"&amp;"емии в области событийного туризма Russian Event Awards")</f>
        <v>-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- Член Совета по туризму Правительства Свердловской области. Эксперт по сертификации туристских услуг и услуг средств размещения. Эксперт государственной системы классификации гостиниц
- Председатель Правления ФРОС Region PR, член Общественного совета при Федеральном агентстве по туризму, основатель Национальной премии в области событийного туризма Russian Event Awards</v>
      </c>
    </row>
    <row r="132" spans="1:3" ht="12.75" x14ac:dyDescent="0.2">
      <c r="A132" s="1"/>
      <c r="B132" s="8" t="str">
        <f ca="1">IFERROR(__xludf.DUMMYFUNCTION("""COMPUTED_VALUE"""),"Енова Алена
Сафонова Людмила
Шаталов Геннадий")</f>
        <v>Енова Алена
Сафонова Людмила
Шаталов Геннадий</v>
      </c>
      <c r="C132" s="1" t="str">
        <f ca="1">IFERROR(__xludf.DUMMYFUNCTION("""COMPUTED_VALUE"""),"-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- Член Совета по туризму Правительства Свердловской области. "&amp;"Эксперт по сертификации туристских услуг и услуг средств размещения. Эксперт государственной системы классификации гостиниц
- Председатель Правления ФРОС Region PR, член Общественного совета при Федеральном агентстве по туризму, основатель Национальной пр"&amp;"емии в области событийного туризма Russian Event Awards")</f>
        <v>-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- Член Совета по туризму Правительства Свердловской области. Эксперт по сертификации туристских услуг и услуг средств размещения. Эксперт государственной системы классификации гостиниц
- Председатель Правления ФРОС Region PR, член Общественного совета при Федеральном агентстве по туризму, основатель Национальной премии в области событийного туризма Russian Event Awards</v>
      </c>
    </row>
    <row r="133" spans="1:3" ht="12.75" x14ac:dyDescent="0.2">
      <c r="A133" s="1"/>
      <c r="B133" s="8" t="str">
        <f ca="1">IFERROR(__xludf.DUMMYFUNCTION("""COMPUTED_VALUE"""),"Зоя Панина")</f>
        <v>Зоя Панина</v>
      </c>
      <c r="C133" s="1" t="str">
        <f ca="1">IFERROR(__xludf.DUMMYFUNCTION("""COMPUTED_VALUE"""),"- Эксперт по бизнес-процессам 
- Основатель сети стройного тела Slim&amp;Go 
- Степень MBA")</f>
        <v>- Эксперт по бизнес-процессам 
- Основатель сети стройного тела Slim&amp;Go 
- Степень MBA</v>
      </c>
    </row>
    <row r="134" spans="1:3" ht="12.75" x14ac:dyDescent="0.2">
      <c r="A134" s="1"/>
      <c r="B134" s="8" t="str">
        <f ca="1">IFERROR(__xludf.DUMMYFUNCTION("""COMPUTED_VALUE"""),"Иван Позняков")</f>
        <v>Иван Позняков</v>
      </c>
      <c r="C134" s="1" t="str">
        <f ca="1">IFERROR(__xludf.DUMMYFUNCTION("""COMPUTED_VALUE"""),"- Руководитель компании «ХАССП-Ликбез»
- Эксперт, консультант по санитарным правилам и ХАССП в общественном питании. Постоянный автор статей в профессиональном журнале «Санэпидконтроль. Охрана труда»
- Автор ютуб-канала о ХАССП и пищевой безопасности в об"&amp;"щественном питании
- Спикер, разработчик программ обучения по разработке и внедрению ХАССП")</f>
        <v>- Руководитель компании «ХАССП-Ликбез»
- Эксперт, консультант по санитарным правилам и ХАССП в общественном питании. Постоянный автор статей в профессиональном журнале «Санэпидконтроль. Охрана труда»
- Автор ютуб-канала о ХАССП и пищевой безопасности в общественном питании
- Спикер, разработчик программ обучения по разработке и внедрению ХАССП</v>
      </c>
    </row>
    <row r="135" spans="1:3" ht="12.75" x14ac:dyDescent="0.2">
      <c r="A135" s="1"/>
      <c r="B135" s="8" t="str">
        <f ca="1">IFERROR(__xludf.DUMMYFUNCTION("""COMPUTED_VALUE"""),"Иван Хроменков")</f>
        <v>Иван Хроменков</v>
      </c>
      <c r="C135" s="1" t="str">
        <f ca="1">IFERROR(__xludf.DUMMYFUNCTION("""COMPUTED_VALUE"""),"- Практикующий психолог, коуч-консультант, бизнес-тренер
- Соавтор программы трансформации бизнеса для beauty-индустрии «Живой Сервис»
- Специалист по разрешению корпоративных конфликтов, преподаватель Института практической психологии «Иматон» (Санкт-Пет"&amp;"ербург)")</f>
        <v>- Практикующий психолог, коуч-консультант, бизнес-тренер
- Соавтор программы трансформации бизнеса для beauty-индустрии «Живой Сервис»
- Специалист по разрешению корпоративных конфликтов, преподаватель Института практической психологии «Иматон» (Санкт-Петербург)</v>
      </c>
    </row>
    <row r="136" spans="1:3" ht="12.75" x14ac:dyDescent="0.2">
      <c r="A136" s="1"/>
      <c r="B136" s="8" t="str">
        <f ca="1">IFERROR(__xludf.DUMMYFUNCTION("""COMPUTED_VALUE"""),"Игорь Веретенников")</f>
        <v>Игорь Веретенников</v>
      </c>
      <c r="C136" s="1" t="str">
        <f ca="1">IFERROR(__xludf.DUMMYFUNCTION("""COMPUTED_VALUE"""),"- Управляющий партнёр в группе компаний «Алюстрой» 
- Эксперт в области финансов и инвестициях в стартапы: вывел онлайн-школу из убытков в 7 млн руб. в компанию с чистой прибылью 500 тыс.руб. в месяц
- Разработал в 2004г. франшизу сети медицинских лаборат"&amp;"орий ""Инвитро""
- В 2010г. запустил и в 2013г. успешно продал стартап в области онлайн-видео videovolna.tv")</f>
        <v>- Управляющий партнёр в группе компаний «Алюстрой» 
- Эксперт в области финансов и инвестициях в стартапы: вывел онлайн-школу из убытков в 7 млн руб. в компанию с чистой прибылью 500 тыс.руб. в месяц
- Разработал в 2004г. франшизу сети медицинских лабораторий "Инвитро"
- В 2010г. запустил и в 2013г. успешно продал стартап в области онлайн-видео videovolna.tv</v>
      </c>
    </row>
    <row r="137" spans="1:3" ht="12.75" x14ac:dyDescent="0.2">
      <c r="A137" s="1"/>
      <c r="B137" s="8" t="str">
        <f ca="1">IFERROR(__xludf.DUMMYFUNCTION("""COMPUTED_VALUE"""),"Игорь Стоянов")</f>
        <v>Игорь Стоянов</v>
      </c>
      <c r="C137" s="1" t="str">
        <f ca="1">IFERROR(__xludf.DUMMYFUNCTION("""COMPUTED_VALUE"""),"-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мире")</f>
        <v>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</v>
      </c>
    </row>
    <row r="138" spans="1:3" ht="12.75" x14ac:dyDescent="0.2">
      <c r="A138" s="1"/>
      <c r="B138" s="8" t="str">
        <f ca="1">IFERROR(__xludf.DUMMYFUNCTION("""COMPUTED_VALUE"""),"Илья Русаков")</f>
        <v>Илья Русаков</v>
      </c>
      <c r="C138" s="5" t="str">
        <f ca="1">IFERROR(__xludf.DUMMYFUNCTION("""COMPUTED_VALUE"""),"- Основатель и руководитель агентства интернет-маркетинга impulse.guru (ТОП-15 по России). Проекты Агентства: Столото, Фоксфорд, БК 888, Нетология, KiwiTaxi. Ежедневно для своих клиентов привлекают 1000+ заказов
- Основатель сервиса по автоматизации отчет"&amp;"ности в Digital - SEO-reports.ru
- Входит в ТОП-10 рейтинга SEO-персон и ТОП-3 фронтменов, влияющих на сферу SEO")</f>
        <v>- Основатель и руководитель агентства интернет-маркетинга impulse.guru (ТОП-15 по России). Проекты Агентства: Столото, Фоксфорд, БК 888, Нетология, KiwiTaxi. Ежедневно для своих клиентов привлекают 1000+ заказов
- Основатель сервиса по автоматизации отчетности в Digital - SEO-reports.ru
- Входит в ТОП-10 рейтинга SEO-персон и ТОП-3 фронтменов, влияющих на сферу SEO</v>
      </c>
    </row>
    <row r="139" spans="1:3" ht="12.75" x14ac:dyDescent="0.2">
      <c r="A139" s="1"/>
      <c r="B139" s="8" t="str">
        <f ca="1">IFERROR(__xludf.DUMMYFUNCTION("""COMPUTED_VALUE"""),"Ильяна Левина")</f>
        <v>Ильяна Левина</v>
      </c>
      <c r="C139" s="1" t="str">
        <f ca="1">IFERROR(__xludf.DUMMYFUNCTION("""COMPUTED_VALUE"""),"- Директор по маркетингу агентства комплексного интернет-маркетинга «Скобеев и Партнеры», эксперт N1 по повышению конверсии сайтов
- Директор по развитию первого в России агентства повышения конверсии LEADHUNTER GROUP
- Спикер МГУ и крупнейших digital-кон"&amp;"ференций (РИФ, СПИК, CyberMarketing и др.)
- 35 организованных бизнес-завтраков
- Была в экспедиции за полярным кругом")</f>
        <v>- Директор по маркетингу агентства комплексного интернет-маркетинга «Скобеев и Партнеры», эксперт N1 по повышению конверсии сайтов
- Директор по развитию первого в России агентства повышения конверсии LEADHUNTER GROUP
- Спикер МГУ и крупнейших digital-конференций (РИФ, СПИК, CyberMarketing и др.)
- 35 организованных бизнес-завтраков
- Была в экспедиции за полярным кругом</v>
      </c>
    </row>
    <row r="140" spans="1:3" ht="12.75" x14ac:dyDescent="0.2">
      <c r="A140" s="1"/>
      <c r="B140" s="8" t="str">
        <f ca="1">IFERROR(__xludf.DUMMYFUNCTION("""COMPUTED_VALUE"""),"Ирина Попова")</f>
        <v>Ирина Попова</v>
      </c>
      <c r="C140" s="1" t="str">
        <f ca="1">IFERROR(__xludf.DUMMYFUNCTION("""COMPUTED_VALUE"""),"- Имеет успешный бизнес-опыт в сфере производства с 1993 года
- Имеет опыт в сфере обучения с 2000 года
- Кандидат социальных наук
- Автор книги «Осознанность. Ваш новый путь к счастью»
- Генеральный директор GET Global
- Входит в список топ-10 бизнес коу"&amp;"чей и тренеров России")</f>
        <v>- Имеет успешный бизнес-опыт в сфере производства с 1993 года
- Имеет опыт в сфере обучения с 2000 года
- Кандидат социальных наук
- Автор книги «Осознанность. Ваш новый путь к счастью»
- Генеральный директор GET Global
- Входит в список топ-10 бизнес коучей и тренеров России</v>
      </c>
    </row>
    <row r="141" spans="1:3" ht="12.75" x14ac:dyDescent="0.2">
      <c r="A141" s="1"/>
      <c r="B141" s="8" t="str">
        <f ca="1">IFERROR(__xludf.DUMMYFUNCTION("""COMPUTED_VALUE"""),"Кирилл Любин")</f>
        <v>Кирилл Любин</v>
      </c>
      <c r="C141" s="1" t="str">
        <f ca="1">IFERROR(__xludf.DUMMYFUNCTION("""COMPUTED_VALUE"""),"- Предприниматель, спикер Деловой среды, TEDx и CISSA. Тренер
- Эксперт по личной стратегии и ресурсному состоянию
- Профессиональный Коуч ICF, консультирует первых лиц компаний и управляющих собственников малого и среднего бизнеса
- Выпускник, ментор и т"&amp;"ренер бизнес Школы Сколково
- Мастер боевых искусств России, офицер запаса подразделения специального назначения ФСБ России")</f>
        <v>- Предприниматель, спикер Деловой среды, TEDx и CISSA. Тренер
- Эксперт по личной стратегии и ресурсному состоянию
- Профессиональный Коуч ICF, консультирует первых лиц компаний и управляющих собственников малого и среднего бизнеса
- Выпускник, ментор и тренер бизнес Школы Сколково
- Мастер боевых искусств России, офицер запаса подразделения специального назначения ФСБ России</v>
      </c>
    </row>
    <row r="142" spans="1:3" ht="12.75" x14ac:dyDescent="0.2">
      <c r="A142" s="1"/>
      <c r="B142" s="8" t="str">
        <f ca="1">IFERROR(__xludf.DUMMYFUNCTION("""COMPUTED_VALUE"""),"Кирилл Трухманов")</f>
        <v>Кирилл Трухманов</v>
      </c>
      <c r="C142" s="1" t="str">
        <f ca="1">IFERROR(__xludf.DUMMYFUNCTION("""COMPUTED_VALUE"""),"- Стилист Персона Artplay
- Ведущий бизнес-тренер, специалист по работе с мотивацией и бизнес-процессами в салоне
- Опыт собственного салона под брендом Персона в Калининграде")</f>
        <v>- Стилист Персона Artplay
- Ведущий бизнес-тренер, специалист по работе с мотивацией и бизнес-процессами в салоне
- Опыт собственного салона под брендом Персона в Калининграде</v>
      </c>
    </row>
    <row r="143" spans="1:3" ht="12.75" x14ac:dyDescent="0.2">
      <c r="A143" s="1"/>
      <c r="B143" s="8" t="str">
        <f ca="1">IFERROR(__xludf.DUMMYFUNCTION("""COMPUTED_VALUE"""),"Кирилл Шишлов")</f>
        <v>Кирилл Шишлов</v>
      </c>
      <c r="C143" s="1" t="str">
        <f ca="1">IFERROR(__xludf.DUMMYFUNCTION("""COMPUTED_VALUE"""),"Эксперт по: интернет-аналитике, привлечению клиентов в интернете, оптимизации бизнес процессов и интегрированию Saas систем. Учредитель группы компаний ТОМ в которую входят: Веб студия полного цикла https://logictim.ru/ , компания по дезинсекции и дератиз"&amp;"ации TM ""Master TOM"", производство женской одежды http://indigira.com/ ТМ ""Indigira"", аналитический сервис https://stat-tom.com/
")</f>
        <v xml:space="preserve">Эксперт по: интернет-аналитике, привлечению клиентов в интернете, оптимизации бизнес процессов и интегрированию Saas систем. Учредитель группы компаний ТОМ в которую входят: Веб студия полного цикла https://logictim.ru/ , компания по дезинсекции и дератизации TM "Master TOM", производство женской одежды http://indigira.com/ ТМ "Indigira", аналитический сервис https://stat-tom.com/
</v>
      </c>
    </row>
    <row r="144" spans="1:3" ht="12.75" x14ac:dyDescent="0.2">
      <c r="A144" s="1"/>
      <c r="B144" s="8" t="str">
        <f ca="1">IFERROR(__xludf.DUMMYFUNCTION("""COMPUTED_VALUE"""),"Константин Зубарев")</f>
        <v>Константин Зубарев</v>
      </c>
      <c r="C144" s="1" t="str">
        <f ca="1">IFERROR(__xludf.DUMMYFUNCTION("""COMPUTED_VALUE"""),"- Индивидуальный предприниматель с 10-летним стажем в 5 видах бизнеса
- Основатель агентства делового Ивента «ZubarevEvent»
- Эксперт в области событийного маркетинга. Организовано и проведено более 500 деловых мероприятий")</f>
        <v>- Индивидуальный предприниматель с 10-летним стажем в 5 видах бизнеса
- Основатель агентства делового Ивента «ZubarevEvent»
- Эксперт в области событийного маркетинга. Организовано и проведено более 500 деловых мероприятий</v>
      </c>
    </row>
    <row r="145" spans="1:3" ht="12.75" x14ac:dyDescent="0.2">
      <c r="A145" s="1"/>
      <c r="B145" s="8" t="str">
        <f ca="1">IFERROR(__xludf.DUMMYFUNCTION("""COMPUTED_VALUE"""),"Константин Хомченко")</f>
        <v>Константин Хомченко</v>
      </c>
      <c r="C145" s="1" t="str">
        <f ca="1">IFERROR(__xludf.DUMMYFUNCTION("""COMPUTED_VALUE"""),"- Рок-звезда интернет-маркетинга
- Владелец маркетингового агентства Chili Marketing. Клиенты: ВкусВилл, Газпром-Нефть, Дикси, Лента, Metro
- Преподаватель IMISP (Топ-3 бизнес-школ России)
- Трекер/Эксперт по маркетингу в акселераторах ИТМО, МФТИ, Политех"&amp;", ВШЭ, ВШМ, в корпоративных акселераторах ВкусВилл и Агама (за 2020 отсмотрел 1900 проектов)")</f>
        <v>- Рок-звезда интернет-маркетинга
- Владелец маркетингового агентства Chili Marketing. Клиенты: ВкусВилл, Газпром-Нефть, Дикси, Лента, Metro
- Преподаватель IMISP (Топ-3 бизнес-школ России)
- Трекер/Эксперт по маркетингу в акселераторах ИТМО, МФТИ, Политех, ВШЭ, ВШМ, в корпоративных акселераторах ВкусВилл и Агама (за 2020 отсмотрел 1900 проектов)</v>
      </c>
    </row>
    <row r="146" spans="1:3" ht="12.75" x14ac:dyDescent="0.2">
      <c r="A146" s="1"/>
      <c r="B146" s="8" t="str">
        <f ca="1">IFERROR(__xludf.DUMMYFUNCTION("""COMPUTED_VALUE"""),"Краснова Елена
Яковлев Александр")</f>
        <v>Краснова Елена
Яковлев Александр</v>
      </c>
      <c r="C146" s="1" t="str">
        <f ca="1">IFERROR(__xludf.DUMMYFUNCTION("""COMPUTED_VALUE"""),"- Основатель Tkanoff Group: более 30,000 клиентов, 5 торговых представителей в регионах, более 5000 SKU
- Основатель бренда одежды Selektion
- Член экспертного совета Минэкономразвития РФ, Председатель комитета Московской Опоры России
- Руководитель Комит"&amp;"ета легкой промышленности Межрегионального «Клуба молодых промышленников» при Минпромторг РФ
- Амбассадор АО «Деловая среда»
- Эксперт в области построения системного бизнеса
- Опыт работы с органами исполнительной власти - 71 субъекта РФ
- Предпринимат"&amp;"ель с 12-летним стажем
- Собственник сети спортивных клубов единоборств 
- Руководитель команды продаж Лучшего Startup филиала Крупной Телекоммуникационной компании")</f>
        <v>- Основатель Tkanoff Group: более 30,000 клиентов, 5 торговых представителей в регионах, более 5000 SKU
- Основатель бренда одежды Selektion
- Член экспертного совета Минэкономразвития РФ, Председатель комитета Московской Опоры России
- Руководитель Комитета легкой промышленности Межрегионального «Клуба молодых промышленников» при Минпромторг РФ
- Амбассадор АО «Деловая среда»
- Эксперт в области построения системного бизнеса
- Опыт работы с органами исполнительной власти - 71 субъекта РФ
- Предприниматель с 12-летним стажем
- Собственник сети спортивных клубов единоборств 
- Руководитель команды продаж Лучшего Startup филиала Крупной Телекоммуникационной компании</v>
      </c>
    </row>
    <row r="147" spans="1:3" ht="12.75" x14ac:dyDescent="0.2">
      <c r="A147" s="1"/>
      <c r="B147" s="8" t="str">
        <f ca="1">IFERROR(__xludf.DUMMYFUNCTION("""COMPUTED_VALUE"""),"Ксения Емельянова")</f>
        <v>Ксения Емельянова</v>
      </c>
      <c r="C147" s="1" t="str">
        <f ca="1">IFERROR(__xludf.DUMMYFUNCTION("""COMPUTED_VALUE"""),"- Руководитель Бюро по защите прав предпринимателей и инвесторов Липецкого регионального отделения ООО МСП «ОПОРА РОССИИ»
- Председатель Правового Комитета Координационного совета по развитию малого и среднего предпринимательства Липецкой области
- Член о"&amp;"бщественного совета Липецкого городского совета депутатов, Общественного совета Липецкого УФАС России")</f>
        <v>- Руководитель Бюро по защите прав предпринимателей и инвесторов Липецкого регионального отделения ООО МСП «ОПОРА РОССИИ»
- Председатель Правового Комитета Координационного совета по развитию малого и среднего предпринимательства Липецкой области
- Член общественного совета Липецкого городского совета депутатов, Общественного совета Липецкого УФАС России</v>
      </c>
    </row>
    <row r="148" spans="1:3" ht="12.75" x14ac:dyDescent="0.2">
      <c r="A148" s="1"/>
      <c r="B148" s="8" t="str">
        <f ca="1">IFERROR(__xludf.DUMMYFUNCTION("""COMPUTED_VALUE"""),"Ксения Ульянова")</f>
        <v>Ксения Ульянова</v>
      </c>
      <c r="C148" s="1" t="str">
        <f ca="1">IFERROR(__xludf.DUMMYFUNCTION("""COMPUTED_VALUE"""),"- Бизнес-тренер, предприниматель
- Федеральный спикер
- Приглашённый эксперт на федеральных телеканалах
- Автор тренингов и курсов по созданию и продвижению Личного
Бренда и стратегиям для развития бизнеса
- Более 100 выступлений в СМИ в качестве эксперта"&amp;" по темам
психологии, личной эффективности, мотивации и бизнеса")</f>
        <v>- Бизнес-тренер, предприниматель
- Федеральный спикер
- Приглашённый эксперт на федеральных телеканалах
- Автор тренингов и курсов по созданию и продвижению Личного
Бренда и стратегиям для развития бизнеса
- Более 100 выступлений в СМИ в качестве эксперта по темам
психологии, личной эффективности, мотивации и бизнеса</v>
      </c>
    </row>
    <row r="149" spans="1:3" ht="12.75" x14ac:dyDescent="0.2">
      <c r="A149" s="1"/>
      <c r="B149" s="8" t="str">
        <f ca="1">IFERROR(__xludf.DUMMYFUNCTION("""COMPUTED_VALUE"""),"Ксения Швецова")</f>
        <v>Ксения Швецова</v>
      </c>
      <c r="C149" s="1" t="str">
        <f ca="1">IFERROR(__xludf.DUMMYFUNCTION("""COMPUTED_VALUE"""),"- Финансовый и коммерческий директор предприятия ООО Апрель ТПК
- Генеральный директор ООО «Аксион» KUPIVSP.RU
- Председатель комитета ПРО Опора России 
- Эксперт по вопросам налогообложения ПРО Опора России 
- Финалист конкурса Бухгалтер года 2019
- Стаж"&amp;" работы главным бухгалтером 15 лет")</f>
        <v>- Финансовый и коммерческий директор предприятия ООО Апрель ТПК
- Генеральный директор ООО «Аксион» KUPIVSP.RU
- Председатель комитета ПРО Опора России 
- Эксперт по вопросам налогообложения ПРО Опора России 
- Финалист конкурса Бухгалтер года 2019
- Стаж работы главным бухгалтером 15 лет</v>
      </c>
    </row>
    <row r="150" spans="1:3" ht="12.75" x14ac:dyDescent="0.2">
      <c r="A150" s="1"/>
      <c r="B150" s="8" t="str">
        <f ca="1">IFERROR(__xludf.DUMMYFUNCTION("""COMPUTED_VALUE"""),"Лилия Биткулова")</f>
        <v>Лилия Биткулова</v>
      </c>
      <c r="C150" s="1" t="str">
        <f ca="1">IFERROR(__xludf.DUMMYFUNCTION("""COMPUTED_VALUE"""),"- Руководитель аккредитованной организации Центр классификации ООО «Звёзды Отелям»
- Член Совета по классификации Ростуризма
- Федеральный эксперт государственной системы классификации
- Эксперт рабочей группы регуляторной гильотины «Туризм»
- Член экспер"&amp;"тного Совета РСТ
- Член рабочей группы по разработке новой системы классификации
- Член экспертного Совета ФРИО")</f>
        <v>- Руководитель аккредитованной организации Центр классификации ООО «Звёзды Отелям»
- Член Совета по классификации Ростуризма
- Федеральный эксперт государственной системы классификации
- Эксперт рабочей группы регуляторной гильотины «Туризм»
- Член экспертного Совета РСТ
- Член рабочей группы по разработке новой системы классификации
- Член экспертного Совета ФРИО</v>
      </c>
    </row>
    <row r="151" spans="1:3" ht="12.75" x14ac:dyDescent="0.2">
      <c r="A151" s="1"/>
      <c r="B151" s="8" t="str">
        <f ca="1">IFERROR(__xludf.DUMMYFUNCTION("""COMPUTED_VALUE"""),"Людмила Карендясева")</f>
        <v>Людмила Карендясева</v>
      </c>
      <c r="C151" s="1"/>
    </row>
    <row r="152" spans="1:3" ht="12.75" x14ac:dyDescent="0.2">
      <c r="A152" s="1"/>
      <c r="B152" s="8" t="str">
        <f ca="1">IFERROR(__xludf.DUMMYFUNCTION("""COMPUTED_VALUE"""),"Людмила Мосина
Валерий Домашенко")</f>
        <v>Людмила Мосина
Валерий Домашенко</v>
      </c>
      <c r="C152" s="1" t="str">
        <f ca="1">IFERROR(__xludf.DUMMYFUNCTION("""COMPUTED_VALUE"""),"Людмила Мосина
Директор Института психогенетики, эксперт Национальной конфедерации «Развитие человеческого капитала»
Валерий Домашенко
Опыт работы — 17 лет. Руководил разработкой и продвижением более 1000 российских и международных проектов")</f>
        <v>Людмила Мосина
Директор Института психогенетики, эксперт Национальной конфедерации «Развитие человеческого капитала»
Валерий Домашенко
Опыт работы — 17 лет. Руководил разработкой и продвижением более 1000 российских и международных проектов</v>
      </c>
    </row>
    <row r="153" spans="1:3" ht="12.75" x14ac:dyDescent="0.2">
      <c r="A153" s="1"/>
      <c r="B153" s="8" t="str">
        <f ca="1">IFERROR(__xludf.DUMMYFUNCTION("""COMPUTED_VALUE"""),"Людмила Познякова")</f>
        <v>Людмила Познякова</v>
      </c>
      <c r="C153" s="1" t="str">
        <f ca="1">IFERROR(__xludf.DUMMYFUNCTION("""COMPUTED_VALUE"""),"- Опыт работы на предприятиях общественного питания с 2005 года
- Изучала ХАССП в Германии в 2015 году на предприятиях крупнейших концернов мира в службах корпоративного питания Volkswagen и ThyssenKrupp
- Имеет опыт успешной подготовки нескольких сотен п"&amp;"редприятий общественного питания к проверкам надзорных органов")</f>
        <v>- Опыт работы на предприятиях общественного питания с 2005 года
- Изучала ХАССП в Германии в 2015 году на предприятиях крупнейших концернов мира в службах корпоративного питания Volkswagen и ThyssenKrupp
- Имеет опыт успешной подготовки нескольких сотен предприятий общественного питания к проверкам надзорных органов</v>
      </c>
    </row>
    <row r="154" spans="1:3" ht="12.75" x14ac:dyDescent="0.2">
      <c r="A154" s="1"/>
      <c r="B154" s="8" t="str">
        <f ca="1">IFERROR(__xludf.DUMMYFUNCTION("""COMPUTED_VALUE"""),"Людмила Сафонова")</f>
        <v>Людмила Сафонова</v>
      </c>
      <c r="C154" s="1" t="str">
        <f ca="1">IFERROR(__xludf.DUMMYFUNCTION("""COMPUTED_VALUE"""),"- Член Совета по туризму Правительства Свердловской области
- Эксперт межрегиональной Ассоциации «Сибирское соглашение» по оценке перспективных туристских территорий и межрегиональных туристских маршрутов
- Эксперт по сертификации туристских услуг и услуг"&amp;" средств размещения
- Эксперт государственной системы классификации гостиниц
- Эксперт по независимой оценке квалификаций
- Кандидат педагогических наук, доцент
- Учредитель и директор ООО «Центр оценки квалификаций «Эксперт», г. Екатеринбург
")</f>
        <v xml:space="preserve">- Член Совета по туризму Правительства Свердловской области
- Эксперт межрегиональной Ассоциации «Сибирское соглашение» по оценке перспективных туристских территорий и межрегиональных туристских маршрутов
- Эксперт по сертификации туристских услуг и услуг средств размещения
- Эксперт государственной системы классификации гостиниц
- Эксперт по независимой оценке квалификаций
- Кандидат педагогических наук, доцент
- Учредитель и директор ООО «Центр оценки квалификаций «Эксперт», г. Екатеринбург
</v>
      </c>
    </row>
    <row r="155" spans="1:3" ht="12.75" x14ac:dyDescent="0.2">
      <c r="A155" s="1"/>
      <c r="B155" s="8" t="str">
        <f ca="1">IFERROR(__xludf.DUMMYFUNCTION("""COMPUTED_VALUE"""),"Максим Енов")</f>
        <v>Максим Енов</v>
      </c>
      <c r="C155" s="1" t="str">
        <f ca="1">IFERROR(__xludf.DUMMYFUNCTION("""COMPUTED_VALUE"""),"- Владелец федеральной управляющей компании «HotelKit», бухгалтерии «Акцепт», ТАЙГА House (ТОП-100 мира)
- Владелец двух отелей 3*в Санкт- Петербурге
- Эксперт по фин. планированию и ревеню-менеджменту в индустрии гостеприимства
- Открыл более 50 отелей, "&amp;"хостелов, апартаментов по всей России")</f>
        <v>- Владелец федеральной управляющей компании «HotelKit», бухгалтерии «Акцепт», ТАЙГА House (ТОП-100 мира)
- Владелец двух отелей 3*в Санкт- Петербурге
- Эксперт по фин. планированию и ревеню-менеджменту в индустрии гостеприимства
- Открыл более 50 отелей, хостелов, апартаментов по всей России</v>
      </c>
    </row>
    <row r="156" spans="1:3" ht="12.75" x14ac:dyDescent="0.2">
      <c r="A156" s="1"/>
      <c r="B156" s="8" t="str">
        <f ca="1">IFERROR(__xludf.DUMMYFUNCTION("""COMPUTED_VALUE"""),"Максим Недельский")</f>
        <v>Максим Недельский</v>
      </c>
      <c r="C156" s="1" t="str">
        <f ca="1">IFERROR(__xludf.DUMMYFUNCTION("""COMPUTED_VALUE"""),"- Директор школы скорочтения и развития интеллекта IQ007
- Генеральный директор ООО «ЯмалНефтеГазСервис», оценочная деятельность
- Более 230 побед в закупках за 3 года, на общую сумму более 300 млн. рублей
- Модератор круглых столов на встречах по 44-ФЗ и"&amp;" 223-ФЗ
- Реализовал на территории ЯНАО меры поддержки предпринимателей в сфере госзакупок
- Амбассадор национального проекта «МойБизнес.РФ»")</f>
        <v>- Директор школы скорочтения и развития интеллекта IQ007
- Генеральный директор ООО «ЯмалНефтеГазСервис», оценочная деятельность
- Более 230 побед в закупках за 3 года, на общую сумму более 300 млн. рублей
- Модератор круглых столов на встречах по 44-ФЗ и 223-ФЗ
- Реализовал на территории ЯНАО меры поддержки предпринимателей в сфере госзакупок
- Амбассадор национального проекта «МойБизнес.РФ»</v>
      </c>
    </row>
    <row r="157" spans="1:3" ht="12.75" x14ac:dyDescent="0.2">
      <c r="A157" s="1"/>
      <c r="B157" s="8" t="str">
        <f ca="1">IFERROR(__xludf.DUMMYFUNCTION("""COMPUTED_VALUE"""),"Малыгин Евгений
Шаталов Геннадий")</f>
        <v>Малыгин Евгений
Шаталов Геннадий</v>
      </c>
      <c r="C157" s="1" t="str">
        <f ca="1">IFERROR(__xludf.DUMMYFUNCTION("""COMPUTED_VALUE"""),"- Эксперт первого грантового конкурса Ростуризма, Руководитель всероссийского конкурса «Мастера гостеприимства» Президентской платформы «Россия – страна возможностей», Финалист Всероссийского конкурса управленцев «Лидеры России»
-  Председатель Правления"&amp;" ФРОС Region PR, Член Общественного совета при Федеральном агентстве по туризму, член Регионального совета Российского Союза туриндустрии, Основатель Национальной премии в области событийного туризма Russian Event Awards")</f>
        <v>- Эксперт первого грантового конкурса Ростуризма, Руководитель всероссийского конкурса «Мастера гостеприимства» Президентской платформы «Россия – страна возможностей», Финалист Всероссийского конкурса управленцев «Лидеры России»
-  Председатель Правления ФРОС Region PR, Член Общественного совета при Федеральном агентстве по туризму, член Регионального совета Российского Союза туриндустрии, Основатель Национальной премии в области событийного туризма Russian Event Awards</v>
      </c>
    </row>
    <row r="158" spans="1:3" ht="12.75" x14ac:dyDescent="0.2">
      <c r="A158" s="1"/>
      <c r="B158" s="8" t="str">
        <f ca="1">IFERROR(__xludf.DUMMYFUNCTION("""COMPUTED_VALUE"""),"Марика Сихарулидзе")</f>
        <v>Марика Сихарулидзе</v>
      </c>
      <c r="C158" s="1" t="str">
        <f ca="1">IFERROR(__xludf.DUMMYFUNCTION("""COMPUTED_VALUE"""),"- Профессиональный визажист
- Основатель Marika Beauty Studio")</f>
        <v>- Профессиональный визажист
- Основатель Marika Beauty Studio</v>
      </c>
    </row>
    <row r="159" spans="1:3" ht="12.75" x14ac:dyDescent="0.2">
      <c r="A159" s="1"/>
      <c r="B159" s="8" t="str">
        <f ca="1">IFERROR(__xludf.DUMMYFUNCTION("""COMPUTED_VALUE"""),"Марика Сихарулидзе ")</f>
        <v xml:space="preserve">Марика Сихарулидзе </v>
      </c>
      <c r="C159" s="1" t="str">
        <f ca="1">IFERROR(__xludf.DUMMYFUNCTION("""COMPUTED_VALUE"""),"
- Профессиональный визажист, бьюти-эксперт
- Создатель стильной и успешной студии красоты Marika Beauty Bar")</f>
        <v xml:space="preserve">
- Профессиональный визажист, бьюти-эксперт
- Создатель стильной и успешной студии красоты Marika Beauty Bar</v>
      </c>
    </row>
    <row r="160" spans="1:3" ht="12.75" x14ac:dyDescent="0.2">
      <c r="A160" s="1"/>
      <c r="B160" s="8" t="str">
        <f ca="1">IFERROR(__xludf.DUMMYFUNCTION("""COMPUTED_VALUE"""),"Марина Гартман")</f>
        <v>Марина Гартман</v>
      </c>
      <c r="C160" s="1" t="str">
        <f ca="1">IFERROR(__xludf.DUMMYFUNCTION("""COMPUTED_VALUE"""),"- Основатель и владелец «Финансовой школы Марины Гартман»
- Председатель и спикер финансовых программ Российского общественного движения «Лидеры России»
- Наставник фонда «Наше Будущее», председатель и совладелец ЖНК «Капитал»
- Обучила более 10 тыс. воен"&amp;"нослужащих по разработанной программе «Накопительная ипотечная система»")</f>
        <v>- Основатель и владелец «Финансовой школы Марины Гартман»
- Председатель и спикер финансовых программ Российского общественного движения «Лидеры России»
- Наставник фонда «Наше Будущее», председатель и совладелец ЖНК «Капитал»
- Обучила более 10 тыс. военнослужащих по разработанной программе «Накопительная ипотечная система»</v>
      </c>
    </row>
    <row r="161" spans="1:3" ht="12.75" x14ac:dyDescent="0.2">
      <c r="A161" s="1"/>
      <c r="B161" s="8" t="str">
        <f ca="1">IFERROR(__xludf.DUMMYFUNCTION("""COMPUTED_VALUE"""),"Мария Азаренок")</f>
        <v>Мария Азаренок</v>
      </c>
      <c r="C161" s="1" t="str">
        <f ca="1">IFERROR(__xludf.DUMMYFUNCTION("""COMPUTED_VALUE"""),"- Совладелец и сооснователь компании по развитию личного бренда и нетворкингу AzarenokPro, обучение в которой прошли 86 000+ студентов
- Провела более 60 часов личных консультаций
- YouTube бизнес-блогер по теме личного бренда – более 159 000 подписчиков "&amp;"и 9 млн. просмотров
- Автор подкаста «Будь Брендом» с более 1 млн. просмотров и автор книги «Активируй свой персональный бренд»")</f>
        <v>- Совладелец и сооснователь компании по развитию личного бренда и нетворкингу AzarenokPro, обучение в которой прошли 86 000+ студентов
- Провела более 60 часов личных консультаций
- YouTube бизнес-блогер по теме личного бренда – более 159 000 подписчиков и 9 млн. просмотров
- Автор подкаста «Будь Брендом» с более 1 млн. просмотров и автор книги «Активируй свой персональный бренд»</v>
      </c>
    </row>
    <row r="162" spans="1:3" ht="12.75" x14ac:dyDescent="0.2">
      <c r="A162" s="1"/>
      <c r="B162" s="8" t="str">
        <f ca="1">IFERROR(__xludf.DUMMYFUNCTION("""COMPUTED_VALUE"""),"Мария Галицкая")</f>
        <v>Мария Галицкая</v>
      </c>
      <c r="C162" s="1" t="str">
        <f ca="1">IFERROR(__xludf.DUMMYFUNCTION("""COMPUTED_VALUE"""),"- Проектный специалист, имеет более 20 кейсов с общей капитализацией проектов более 170 млн. руб.
- Предприниматель, организовала 5 оффлайн бизнес-систем
- Обучила более 2500 учеников, создала более 50 программ и курсов для корпоративного и онлайн-обучени"&amp;"я сотрудников
- Стаж общественной деятельности 13 лет
- Покорила вершину 5416 м. в Непале в одиночку, 9 дней выживала на необитаемом острове и посетила 42 страны с повесткой об образовании")</f>
        <v>- Проектный специалист, имеет более 20 кейсов с общей капитализацией проектов более 170 млн. руб.
- Предприниматель, организовала 5 оффлайн бизнес-систем
- Обучила более 2500 учеников, создала более 50 программ и курсов для корпоративного и онлайн-обучения сотрудников
- Стаж общественной деятельности 13 лет
- Покорила вершину 5416 м. в Непале в одиночку, 9 дней выживала на необитаемом острове и посетила 42 страны с повесткой об образовании</v>
      </c>
    </row>
    <row r="163" spans="1:3" ht="12.75" x14ac:dyDescent="0.2">
      <c r="A163" s="1"/>
      <c r="B163" s="8" t="str">
        <f ca="1">IFERROR(__xludf.DUMMYFUNCTION("""COMPUTED_VALUE"""),"Мария Кизима")</f>
        <v>Мария Кизима</v>
      </c>
      <c r="C163" s="1" t="str">
        <f ca="1">IFERROR(__xludf.DUMMYFUNCTION("""COMPUTED_VALUE"""),"- Соучредитель компании «Франчайзинг-Интеллект» (создайфраншизу.рф)
- Директор «Единого центра поддержки франчайзинга»
- Привлеченный эксперт по вопросам социального франчайзинга Фонда поддержки социальных проектов при Агентстве стратегических инициатив Р"&amp;"оссийской Федерации
- Специалист по юридическим вопросам франчайзинга и интеллектуальной собственности")</f>
        <v>- Соучредитель компании «Франчайзинг-Интеллект» (создайфраншизу.рф)
- Директор «Единого центра поддержки франчайзинга»
- Привлеченный эксперт по вопросам социального франчайзинга Фонда поддержки социальных проектов при Агентстве стратегических инициатив Российской Федерации
- Специалист по юридическим вопросам франчайзинга и интеллектуальной собственности</v>
      </c>
    </row>
    <row r="164" spans="1:3" ht="12.75" x14ac:dyDescent="0.2">
      <c r="A164" s="1"/>
      <c r="B164" s="8" t="str">
        <f ca="1">IFERROR(__xludf.DUMMYFUNCTION("""COMPUTED_VALUE"""),"Михаил Галейченко")</f>
        <v>Михаил Галейченко</v>
      </c>
      <c r="C164" s="1" t="str">
        <f ca="1">IFERROR(__xludf.DUMMYFUNCTION("""COMPUTED_VALUE"""),"- Спикер-практик по автоматизации менеджмента
- Собственник IT-компании «ИнсталлСРМ», лидер отрасли среди интеграторов amoCRM
- Собственник IT-компании «КурскХелп». Входит в состав «Бюро спикеров И. Манна»")</f>
        <v>- Спикер-практик по автоматизации менеджмента
- Собственник IT-компании «ИнсталлСРМ», лидер отрасли среди интеграторов amoCRM
- Собственник IT-компании «КурскХелп». Входит в состав «Бюро спикеров И. Манна»</v>
      </c>
    </row>
    <row r="165" spans="1:3" ht="12.75" x14ac:dyDescent="0.2">
      <c r="A165" s="1"/>
      <c r="B165" s="8" t="str">
        <f ca="1">IFERROR(__xludf.DUMMYFUNCTION("""COMPUTED_VALUE"""),"Михаил Христосенко")</f>
        <v>Михаил Христосенко</v>
      </c>
      <c r="C165" s="1" t="str">
        <f ca="1">IFERROR(__xludf.DUMMYFUNCTION("""COMPUTED_VALUE"""),"- Основатель студии интернет-маркетинга
- Автор книги «Бизнес Сайт: Как найти клиентов и увеличить продажи»
- Бизнес-тренер")</f>
        <v>- Основатель студии интернет-маркетинга
- Автор книги «Бизнес Сайт: Как найти клиентов и увеличить продажи»
- Бизнес-тренер</v>
      </c>
    </row>
    <row r="166" spans="1:3" ht="12.75" x14ac:dyDescent="0.2">
      <c r="A166" s="1"/>
      <c r="B166" s="8" t="str">
        <f ca="1">IFERROR(__xludf.DUMMYFUNCTION("""COMPUTED_VALUE"""),"Муслим Муслимов")</f>
        <v>Муслим Муслимов</v>
      </c>
      <c r="C166" s="1"/>
    </row>
    <row r="167" spans="1:3" ht="12.75" x14ac:dyDescent="0.2">
      <c r="A167" s="1"/>
      <c r="B167" s="8" t="str">
        <f ca="1">IFERROR(__xludf.DUMMYFUNCTION("""COMPUTED_VALUE"""),"Надежда Копытина")</f>
        <v>Надежда Копытина</v>
      </c>
      <c r="C167" s="1"/>
    </row>
    <row r="168" spans="1:3" ht="12.75" x14ac:dyDescent="0.2">
      <c r="A168" s="1"/>
      <c r="B168" s="8" t="str">
        <f ca="1">IFERROR(__xludf.DUMMYFUNCTION("""COMPUTED_VALUE"""),"Наиля Чурина")</f>
        <v>Наиля Чурина</v>
      </c>
      <c r="C168" s="1" t="str">
        <f ca="1">IFERROR(__xludf.DUMMYFUNCTION("""COMPUTED_VALUE"""),"- Юрист с 10-летним опытом работы в госзаказе 
- Работа в частном секторе и на государственной службе 
- Основное направление экспертизы — консультирование и обучение бизнеса работе с государственными закупками и закупками государственных корпораций
- Соз"&amp;"датель первого в Instagram бизнес-блога о госзаказе и цифровой экономике @churina_pro_gk")</f>
        <v>- Юрист с 10-летним опытом работы в госзаказе 
- Работа в частном секторе и на государственной службе 
- Основное направление экспертизы — консультирование и обучение бизнеса работе с государственными закупками и закупками государственных корпораций
- Создатель первого в Instagram бизнес-блога о госзаказе и цифровой экономике @churina_pro_gk</v>
      </c>
    </row>
    <row r="169" spans="1:3" ht="12.75" x14ac:dyDescent="0.2">
      <c r="A169" s="1"/>
      <c r="B169" s="8" t="str">
        <f ca="1">IFERROR(__xludf.DUMMYFUNCTION("""COMPUTED_VALUE"""),"Наталья Ансталь")</f>
        <v>Наталья Ансталь</v>
      </c>
      <c r="C169" s="1" t="str">
        <f ca="1">IFERROR(__xludf.DUMMYFUNCTION("""COMPUTED_VALUE"""),"- Основатель и руководитель туроператора и турагентства «Go Travel»
- Организатор авторских туров по России
- Travel-блогер «Your Travel Guide»
- Создатель туристического информационного центра «WELCOME to Konakovo»
- Учредитель глянцевого журнала «WELCOM"&amp;"E to Konakovo»
- Основатель Travel-школы «Go Travel School»
- Преподаватель кафедры промышленной безопасности и охраны окружающей среды РГУ нефти и газа (НИУ) имени И.М. Губкина")</f>
        <v>- Основатель и руководитель туроператора и турагентства «Go Travel»
- Организатор авторских туров по России
- Travel-блогер «Your Travel Guide»
- Создатель туристического информационного центра «WELCOME to Konakovo»
- Учредитель глянцевого журнала «WELCOME to Konakovo»
- Основатель Travel-школы «Go Travel School»
- Преподаватель кафедры промышленной безопасности и охраны окружающей среды РГУ нефти и газа (НИУ) имени И.М. Губкина</v>
      </c>
    </row>
    <row r="170" spans="1:3" ht="12.75" x14ac:dyDescent="0.2">
      <c r="A170" s="1"/>
      <c r="B170" s="8" t="str">
        <f ca="1">IFERROR(__xludf.DUMMYFUNCTION("""COMPUTED_VALUE"""),"Наталья Бешлиу")</f>
        <v>Наталья Бешлиу</v>
      </c>
      <c r="C170" s="1" t="str">
        <f ca="1">IFERROR(__xludf.DUMMYFUNCTION("""COMPUTED_VALUE"""),"- Практикующий психолог, физиогномист, подготовила и провела более 1500 успешных переговоров
- За счет эффективных переговоров сократила расходы компании более чем на 50 млн руб/год
- Эксперт Первого канала
- Преодолела страх воды, научилась плавать в 43 "&amp;"года и приняла участие в соревнованиях по плаванию")</f>
        <v>- Практикующий психолог, физиогномист, подготовила и провела более 1500 успешных переговоров
- За счет эффективных переговоров сократила расходы компании более чем на 50 млн руб/год
- Эксперт Первого канала
- Преодолела страх воды, научилась плавать в 43 года и приняла участие в соревнованиях по плаванию</v>
      </c>
    </row>
    <row r="171" spans="1:3" ht="12.75" x14ac:dyDescent="0.2">
      <c r="A171" s="1"/>
      <c r="B171" s="8" t="str">
        <f ca="1">IFERROR(__xludf.DUMMYFUNCTION("""COMPUTED_VALUE"""),"Наталья Быстрова")</f>
        <v>Наталья Быстрова</v>
      </c>
      <c r="C171" s="1" t="str">
        <f ca="1">IFERROR(__xludf.DUMMYFUNCTION("""COMPUTED_VALUE"""),"- Адвокат Ленинградской областной коллегии адвокатов – опыт работы в юриспруденции более 12 лет
- Эксперт по защите бизнеса и граждан в сфере проверок госорганов, защиты по уголовным делам и гражданским спорам
- Эксперт по защите бизнеса от правовых риско"&amp;"в
- Юридическое сопровождение инвестиционных проектов в сфере онлайн образования
")</f>
        <v xml:space="preserve">- Адвокат Ленинградской областной коллегии адвокатов – опыт работы в юриспруденции более 12 лет
- Эксперт по защите бизнеса и граждан в сфере проверок госорганов, защиты по уголовным делам и гражданским спорам
- Эксперт по защите бизнеса от правовых рисков
- Юридическое сопровождение инвестиционных проектов в сфере онлайн образования
</v>
      </c>
    </row>
    <row r="172" spans="1:3" ht="12.75" x14ac:dyDescent="0.2">
      <c r="A172" s="1"/>
      <c r="B172" s="8" t="str">
        <f ca="1">IFERROR(__xludf.DUMMYFUNCTION("""COMPUTED_VALUE"""),"Наталья Гаина")</f>
        <v>Наталья Гаина</v>
      </c>
      <c r="C172" s="1" t="str">
        <f ca="1">IFERROR(__xludf.DUMMYFUNCTION("""COMPUTED_VALUE"""),"- Федеральный тренер–эксперт Ассоциации тренеров Российского союза молодежи
- Эксперт грантовых конкурсов «Гранты Мэра Москвы» и Росмолодёжи, дала оценку более 300 проектам, 9 лет стаж работы с молодежью
- Организатор Всероссийских образовательных проекто"&amp;"в, как тренер посетила более 40 регионов РФ 
- Натурщица для скульптуры «Женщинам - строителям железной дороги Старый Оскол – Ржава»")</f>
        <v>- Федеральный тренер–эксперт Ассоциации тренеров Российского союза молодежи
- Эксперт грантовых конкурсов «Гранты Мэра Москвы» и Росмолодёжи, дала оценку более 300 проектам, 9 лет стаж работы с молодежью
- Организатор Всероссийских образовательных проектов, как тренер посетила более 40 регионов РФ 
- Натурщица для скульптуры «Женщинам - строителям железной дороги Старый Оскол – Ржава»</v>
      </c>
    </row>
    <row r="173" spans="1:3" ht="12.75" x14ac:dyDescent="0.2">
      <c r="A173" s="1"/>
      <c r="B173" s="8" t="str">
        <f ca="1">IFERROR(__xludf.DUMMYFUNCTION("""COMPUTED_VALUE"""),"Наталья Семенова")</f>
        <v>Наталья Семенова</v>
      </c>
      <c r="C173" s="1"/>
    </row>
    <row r="174" spans="1:3" ht="12.75" x14ac:dyDescent="0.2">
      <c r="A174" s="1"/>
      <c r="B174" s="8" t="str">
        <f ca="1">IFERROR(__xludf.DUMMYFUNCTION("""COMPUTED_VALUE"""),"Наталья Солнцева")</f>
        <v>Наталья Солнцева</v>
      </c>
      <c r="C174" s="1" t="str">
        <f ca="1">IFERROR(__xludf.DUMMYFUNCTION("""COMPUTED_VALUE"""),"- Директор Школы стилистов Персона")</f>
        <v>- Директор Школы стилистов Персона</v>
      </c>
    </row>
    <row r="175" spans="1:3" ht="12.75" x14ac:dyDescent="0.2">
      <c r="A175" s="1"/>
      <c r="B175" s="8" t="str">
        <f ca="1">IFERROR(__xludf.DUMMYFUNCTION("""COMPUTED_VALUE"""),"Наталья Солнцева
Екатерина Мартовская")</f>
        <v>Наталья Солнцева
Екатерина Мартовская</v>
      </c>
      <c r="C175" s="1"/>
    </row>
    <row r="176" spans="1:3" ht="12.75" x14ac:dyDescent="0.2">
      <c r="A176" s="1"/>
      <c r="B176" s="8" t="str">
        <f ca="1">IFERROR(__xludf.DUMMYFUNCTION("""COMPUTED_VALUE"""),"Никита Кондратенко")</f>
        <v>Никита Кондратенко</v>
      </c>
      <c r="C176" s="1" t="str">
        <f ca="1">IFERROR(__xludf.DUMMYFUNCTION("""COMPUTED_VALUE"""),"Актер театра и кино ")</f>
        <v xml:space="preserve">Актер театра и кино </v>
      </c>
    </row>
    <row r="177" spans="1:3" ht="12.75" x14ac:dyDescent="0.2">
      <c r="A177" s="1"/>
      <c r="B177" s="8" t="str">
        <f ca="1">IFERROR(__xludf.DUMMYFUNCTION("""COMPUTED_VALUE"""),"Никита Рождественский")</f>
        <v>Никита Рождественский</v>
      </c>
      <c r="C177" s="1" t="str">
        <f ca="1">IFERROR(__xludf.DUMMYFUNCTION("""COMPUTED_VALUE"""),"Предприниматель, партнёр акселератора Silicon Valley insiders, акселератора Moscow Eco Challenge, ментор 2000+ проектов, методолог образовательных программ")</f>
        <v>Предприниматель, партнёр акселератора Silicon Valley insiders, акселератора Moscow Eco Challenge, ментор 2000+ проектов, методолог образовательных программ</v>
      </c>
    </row>
    <row r="178" spans="1:3" ht="12.75" x14ac:dyDescent="0.2">
      <c r="A178" s="1"/>
      <c r="B178" s="8" t="str">
        <f ca="1">IFERROR(__xludf.DUMMYFUNCTION("""COMPUTED_VALUE"""),"Никола Андреев")</f>
        <v>Никола Андреев</v>
      </c>
      <c r="C178" s="1"/>
    </row>
    <row r="179" spans="1:3" ht="12.75" x14ac:dyDescent="0.2">
      <c r="A179" s="1"/>
      <c r="B179" s="8" t="str">
        <f ca="1">IFERROR(__xludf.DUMMYFUNCTION("""COMPUTED_VALUE"""),"Николай Голещихин")</f>
        <v>Николай Голещихин</v>
      </c>
      <c r="C179" s="1" t="str">
        <f ca="1">IFERROR(__xludf.DUMMYFUNCTION("""COMPUTED_VALUE"""),"- Собственник бизнесов: IT-агентство «EventApp», Консалтинговая компания «ДиректАктив», Консалтинговая группа «Преимущество» 
- Более 2000 компаний-клиентов, увеличение прибыли компаний клиентов от 10% до 250% 
- Автор более 20 технологий и методик в сфер"&amp;"е менеджмента и маркетинга
- Автор книги «ГОЛДРИНГ.Алгоритм эффективных продаж»
- Преподаватель «Сколково», программы MBA
")</f>
        <v xml:space="preserve">- Собственник бизнесов: IT-агентство «EventApp», Консалтинговая компания «ДиректАктив», Консалтинговая группа «Преимущество» 
- Более 2000 компаний-клиентов, увеличение прибыли компаний клиентов от 10% до 250% 
- Автор более 20 технологий и методик в сфере менеджмента и маркетинга
- Автор книги «ГОЛДРИНГ.Алгоритм эффективных продаж»
- Преподаватель «Сколково», программы MBA
</v>
      </c>
    </row>
    <row r="180" spans="1:3" ht="12.75" x14ac:dyDescent="0.2">
      <c r="A180" s="1"/>
      <c r="B180" s="8" t="str">
        <f ca="1">IFERROR(__xludf.DUMMYFUNCTION("""COMPUTED_VALUE"""),"Николай Смерницкий")</f>
        <v>Николай Смерницкий</v>
      </c>
      <c r="C180" s="1" t="str">
        <f ca="1">IFERROR(__xludf.DUMMYFUNCTION("""COMPUTED_VALUE"""),"- Основатель и владелец маркетингового агентства Smenik-Agency.ru и группы компаний интернет-магазинов отделки
- Опыт предпринимательской деятельности более 18 лет, средний оборот компании более 140 млн. рублей в год
- Обучил более 1000 руководителей нало"&amp;"говых инспекций и управления ФНС по всей России методологии Agile и применения ее в налоговом администрировании")</f>
        <v>- Основатель и владелец маркетингового агентства Smenik-Agency.ru и группы компаний интернет-магазинов отделки
- Опыт предпринимательской деятельности более 18 лет, средний оборот компании более 140 млн. рублей в год
- Обучил более 1000 руководителей налоговых инспекций и управления ФНС по всей России методологии Agile и применения ее в налоговом администрировании</v>
      </c>
    </row>
    <row r="181" spans="1:3" ht="12.75" x14ac:dyDescent="0.2">
      <c r="A181" s="1"/>
      <c r="B181" s="8" t="str">
        <f ca="1">IFERROR(__xludf.DUMMYFUNCTION("""COMPUTED_VALUE"""),"Николай Смирнов")</f>
        <v>Николай Смирнов</v>
      </c>
      <c r="C181" s="1" t="str">
        <f ca="1">IFERROR(__xludf.DUMMYFUNCTION("""COMPUTED_VALUE"""),"- Программный директор онлайн-университета «Skillbox»
- 10 лет в маркетинге
- Эксперт в области таргетированной рекламы и социальных медиа
- Потрачено более 30 000 000 эффективного бюджета в рекламе
- Аккредитованный партнер по образованию myTarget и VK")</f>
        <v>- Программный директор онлайн-университета «Skillbox»
- 10 лет в маркетинге
- Эксперт в области таргетированной рекламы и социальных медиа
- Потрачено более 30 000 000 эффективного бюджета в рекламе
- Аккредитованный партнер по образованию myTarget и VK</v>
      </c>
    </row>
    <row r="182" spans="1:3" ht="12.75" x14ac:dyDescent="0.2">
      <c r="A182" s="1"/>
      <c r="B182" s="8" t="str">
        <f ca="1">IFERROR(__xludf.DUMMYFUNCTION("""COMPUTED_VALUE"""),"Николай Шутенко")</f>
        <v>Николай Шутенко</v>
      </c>
      <c r="C182" s="1" t="str">
        <f ca="1">IFERROR(__xludf.DUMMYFUNCTION("""COMPUTED_VALUE"""),"Руководитель проектов «Синерджи Консалтинг», эксперт в области построения стратегии компаний")</f>
        <v>Руководитель проектов «Синерджи Консалтинг», эксперт в области построения стратегии компаний</v>
      </c>
    </row>
    <row r="183" spans="1:3" ht="12.75" x14ac:dyDescent="0.2">
      <c r="A183" s="1"/>
      <c r="B183" s="8" t="str">
        <f ca="1">IFERROR(__xludf.DUMMYFUNCTION("""COMPUTED_VALUE"""),"Олег Иванов
Михаил Токовинин
Станислав Фурта
Рубен Варданян")</f>
        <v>Олег Иванов
Михаил Токовинин
Станислав Фурта
Рубен Варданян</v>
      </c>
      <c r="C183" s="1" t="str">
        <f ca="1">IFERROR(__xludf.DUMMYFUNCTION("""COMPUTED_VALUE"""),"Олег Иванов: Сооснователь и генеральный директор CryptoBazar Fund
Михаил Токовинин: Сооснователь и управляющий партнер AmoCRM
Станислав Фурта: Партнер школы-бизнеса Синергия
Рубен Варданян: Партнер инвестиционной компании «Варданян, Бройтман и партнеры»")</f>
        <v>Олег Иванов: Сооснователь и генеральный директор CryptoBazar Fund
Михаил Токовинин: Сооснователь и управляющий партнер AmoCRM
Станислав Фурта: Партнер школы-бизнеса Синергия
Рубен Варданян: Партнер инвестиционной компании «Варданян, Бройтман и партнеры»</v>
      </c>
    </row>
    <row r="184" spans="1:3" ht="12.75" x14ac:dyDescent="0.2">
      <c r="A184" s="1"/>
      <c r="B184" s="8" t="str">
        <f ca="1">IFERROR(__xludf.DUMMYFUNCTION("""COMPUTED_VALUE"""),"Ольга Ален")</f>
        <v>Ольга Ален</v>
      </c>
      <c r="C184" s="1" t="str">
        <f ca="1">IFERROR(__xludf.DUMMYFUNCTION("""COMPUTED_VALUE"""),"Серийная предпринимательница. Среди её проектов: бутик женской одежды, маркетинговое и event-агентство, женский тренинговый центр, глянцевый интернет-портал и «Школа личного успеха»")</f>
        <v>Серийная предпринимательница. Среди её проектов: бутик женской одежды, маркетинговое и event-агентство, женский тренинговый центр, глянцевый интернет-портал и «Школа личного успеха»</v>
      </c>
    </row>
    <row r="185" spans="1:3" ht="12.75" x14ac:dyDescent="0.2">
      <c r="A185" s="1"/>
      <c r="B185" s="8" t="str">
        <f ca="1">IFERROR(__xludf.DUMMYFUNCTION("""COMPUTED_VALUE"""),"Ольга Бизина")</f>
        <v>Ольга Бизина</v>
      </c>
      <c r="C185" s="1" t="str">
        <f ca="1">IFERROR(__xludf.DUMMYFUNCTION("""COMPUTED_VALUE"""),"- Art-Director направления женских стрижек
- Преподаватель в Школе Стилистов Персона")</f>
        <v>- Art-Director направления женских стрижек
- Преподаватель в Школе Стилистов Персона</v>
      </c>
    </row>
    <row r="186" spans="1:3" ht="12.75" x14ac:dyDescent="0.2">
      <c r="A186" s="1"/>
      <c r="B186" s="8" t="str">
        <f ca="1">IFERROR(__xludf.DUMMYFUNCTION("""COMPUTED_VALUE"""),"Ольга Бизина ")</f>
        <v xml:space="preserve">Ольга Бизина </v>
      </c>
      <c r="C186" s="1" t="str">
        <f ca="1">IFERROR(__xludf.DUMMYFUNCTION("""COMPUTED_VALUE"""),"- Преподаватель в Школе Стилистов Персона
- Опыт в профессии парикмахер 20 лет
- Art-Director направления женских стрижек
- Известна своими работами и преподавательской деятельностью в Израиле, Корее, Китае и во многих
регионах России
- Создатель базово"&amp;"й программы, коллекции стрижек, курсов повышения квалификации в Персона
Академии и Академии Сикорской (Москва) по женским стрижкам")</f>
        <v>- Преподаватель в Школе Стилистов Персона
- Опыт в профессии парикмахер 20 лет
- Art-Director направления женских стрижек
- Известна своими работами и преподавательской деятельностью в Израиле, Корее, Китае и во многих
регионах России
- Создатель базовой программы, коллекции стрижек, курсов повышения квалификации в Персона
Академии и Академии Сикорской (Москва) по женским стрижкам</v>
      </c>
    </row>
    <row r="187" spans="1:3" ht="12.75" x14ac:dyDescent="0.2">
      <c r="A187" s="1"/>
      <c r="B187" s="8" t="str">
        <f ca="1">IFERROR(__xludf.DUMMYFUNCTION("""COMPUTED_VALUE"""),"Ольга Зиновьева
")</f>
        <v xml:space="preserve">Ольга Зиновьева
</v>
      </c>
      <c r="C187" s="1" t="str">
        <f ca="1">IFERROR(__xludf.DUMMYFUNCTION("""COMPUTED_VALUE"""),"Ольга Зиновьева
Основатель компании Elementaree")</f>
        <v>Ольга Зиновьева
Основатель компании Elementaree</v>
      </c>
    </row>
    <row r="188" spans="1:3" ht="12.75" x14ac:dyDescent="0.2">
      <c r="A188" s="1"/>
      <c r="B188" s="8" t="str">
        <f ca="1">IFERROR(__xludf.DUMMYFUNCTION("""COMPUTED_VALUE"""),"Ольга Никулина")</f>
        <v>Ольга Никулина</v>
      </c>
      <c r="C188" s="1" t="str">
        <f ca="1">IFERROR(__xludf.DUMMYFUNCTION("""COMPUTED_VALUE"""),"
Brow-мастер, 3 года стажа работы по специальности, тренер brow-мастеров. Проводит Мастер-класс от бренда Innovator Cosmetic ")</f>
        <v xml:space="preserve">
Brow-мастер, 3 года стажа работы по специальности, тренер brow-мастеров. Проводит Мастер-класс от бренда Innovator Cosmetic </v>
      </c>
    </row>
    <row r="189" spans="1:3" ht="12.75" x14ac:dyDescent="0.2">
      <c r="A189" s="1"/>
      <c r="B189" s="8" t="str">
        <f ca="1">IFERROR(__xludf.DUMMYFUNCTION("""COMPUTED_VALUE"""),"Ольга Пескова")</f>
        <v>Ольга Пескова</v>
      </c>
      <c r="C189" s="1" t="str">
        <f ca="1">IFERROR(__xludf.DUMMYFUNCTION("""COMPUTED_VALUE"""),"- Эксперт-практик по валютному контролю с опытом более 20 лет
- Руководитель консалтинговой компании ЗаконоВЭД.рф
- Помогла более 300 начинающим и опытным участникам ВЭД решать вопросы валютного контроля любой сложности
- Помогла исключить нарушения требо"&amp;"ваний российского законодательства и штрафных санкций на сумму более 10 млн. рублей")</f>
        <v>- Эксперт-практик по валютному контролю с опытом более 20 лет
- Руководитель консалтинговой компании ЗаконоВЭД.рф
- Помогла более 300 начинающим и опытным участникам ВЭД решать вопросы валютного контроля любой сложности
- Помогла исключить нарушения требований российского законодательства и штрафных санкций на сумму более 10 млн. рублей</v>
      </c>
    </row>
    <row r="190" spans="1:3" ht="12.75" x14ac:dyDescent="0.2">
      <c r="A190" s="1"/>
      <c r="B190" s="8" t="str">
        <f ca="1">IFERROR(__xludf.DUMMYFUNCTION("""COMPUTED_VALUE"""),"Ольга Реутова")</f>
        <v>Ольга Реутова</v>
      </c>
      <c r="C190" s="1" t="str">
        <f ca="1">IFERROR(__xludf.DUMMYFUNCTION("""COMPUTED_VALUE"""),"- Директор по маркетингу «Фабрика сайтов»
- Увеличила доход с performance-каналов на 25% по сравнению с предыдущим годом без увеличения бюджета на маркетинг
- Digital-стратегия: сформировала и реализовала для компаний Ingate, Rookee, netPrint
- Управление"&amp;" проектами: более 15 успешных проектов по интернет-маркетингу в b2b и b2c, среди которых: Ingate, Rookee, Stream Telecom, ТТС, Лаура, Р-Моторс, Сигма-Моторс, netPrint
- Спикер, преподаватель в ведущих онлайн-университетах страны: Нетология, Geek Brains")</f>
        <v>- Директор по маркетингу «Фабрика сайтов»
- Увеличила доход с performance-каналов на 25% по сравнению с предыдущим годом без увеличения бюджета на маркетинг
- Digital-стратегия: сформировала и реализовала для компаний Ingate, Rookee, netPrint
- Управление проектами: более 15 успешных проектов по интернет-маркетингу в b2b и b2c, среди которых: Ingate, Rookee, Stream Telecom, ТТС, Лаура, Р-Моторс, Сигма-Моторс, netPrint
- Спикер, преподаватель в ведущих онлайн-университетах страны: Нетология, Geek Brains</v>
      </c>
    </row>
    <row r="191" spans="1:3" ht="12.75" x14ac:dyDescent="0.2">
      <c r="A191" s="1"/>
      <c r="B191" s="8" t="str">
        <f ca="1">IFERROR(__xludf.DUMMYFUNCTION("""COMPUTED_VALUE"""),"Ольга Соколенко")</f>
        <v>Ольга Соколенко</v>
      </c>
      <c r="C191" s="1"/>
    </row>
    <row r="192" spans="1:3" ht="12.75" x14ac:dyDescent="0.2">
      <c r="A192" s="1"/>
      <c r="B192" s="8" t="str">
        <f ca="1">IFERROR(__xludf.DUMMYFUNCTION("""COMPUTED_VALUE"""),"Павел Аванян")</f>
        <v>Павел Аванян</v>
      </c>
      <c r="C192" s="1" t="str">
        <f ca="1">IFERROR(__xludf.DUMMYFUNCTION("""COMPUTED_VALUE"""),"- Управляющий партнер компании Center-game и проекта PRE.inc
- помогает создателям проектов выйти на рынок
- Эксперт в customer development и управлении проектами
- Входит в карту лидеров инноваций в образовании
- 5 раз путешествовал автостопом по России,"&amp;" Беларуси и Украине, был в походе по Алтаю и Камчатке, ценит здоровый образ жизни")</f>
        <v>- Управляющий партнер компании Center-game и проекта PRE.inc
- помогает создателям проектов выйти на рынок
- Эксперт в customer development и управлении проектами
- Входит в карту лидеров инноваций в образовании
- 5 раз путешествовал автостопом по России, Беларуси и Украине, был в походе по Алтаю и Камчатке, ценит здоровый образ жизни</v>
      </c>
    </row>
    <row r="193" spans="1:3" ht="12.75" x14ac:dyDescent="0.2">
      <c r="A193" s="1"/>
      <c r="B193" s="8" t="str">
        <f ca="1">IFERROR(__xludf.DUMMYFUNCTION("""COMPUTED_VALUE"""),"Павел Анненков")</f>
        <v>Павел Анненков</v>
      </c>
      <c r="C193" s="1" t="str">
        <f ca="1">IFERROR(__xludf.DUMMYFUNCTION("""COMPUTED_VALUE"""),"- Основатель четырёх действующих компаний в сфере производства и торговли мебелью, осветительной техники, озеленения общественных интерьеров и в индустрии развлечений, как в России, так и за рубежом 
- Коуч бизнес-школы «Сколково»
- Ментор GSEA (Междунаро"&amp;"дной студенческой премии в области предпринимательства)
- Автор бестселлера «Ошибки на миллион долларов»
- Посетил более 70 стран")</f>
        <v>- Основатель четырёх действующих компаний в сфере производства и торговли мебелью, осветительной техники, озеленения общественных интерьеров и в индустрии развлечений, как в России, так и за рубежом 
- Коуч бизнес-школы «Сколково»
- Ментор GSEA (Международной студенческой премии в области предпринимательства)
- Автор бестселлера «Ошибки на миллион долларов»
- Посетил более 70 стран</v>
      </c>
    </row>
    <row r="194" spans="1:3" ht="12.75" x14ac:dyDescent="0.2">
      <c r="A194" s="1"/>
      <c r="B194" s="8" t="str">
        <f ca="1">IFERROR(__xludf.DUMMYFUNCTION("""COMPUTED_VALUE"""),"Павел Мельников")</f>
        <v>Павел Мельников</v>
      </c>
      <c r="C194" s="1" t="str">
        <f ca="1">IFERROR(__xludf.DUMMYFUNCTION("""COMPUTED_VALUE"""),"- Эксперт по информационной безопасности
- Генеральный директор консалтинговой компании Pointlane
- Член экспертного совета RISSPA")</f>
        <v>- Эксперт по информационной безопасности
- Генеральный директор консалтинговой компании Pointlane
- Член экспертного совета RISSPA</v>
      </c>
    </row>
    <row r="195" spans="1:3" ht="12.75" x14ac:dyDescent="0.2">
      <c r="A195" s="1"/>
      <c r="B195" s="8" t="str">
        <f ca="1">IFERROR(__xludf.DUMMYFUNCTION("""COMPUTED_VALUE"""),"Павел Павлов")</f>
        <v>Павел Павлов</v>
      </c>
      <c r="C195" s="1" t="str">
        <f ca="1">IFERROR(__xludf.DUMMYFUNCTION("""COMPUTED_VALUE"""),"- Топ-бьюти фотограф, специализируется на съемках парикмахерского искусства
- Работал со всемирно известными косметическими брендами, именитыми парикмахерами и колористами из России, Лондона и США
- Ежегодно реализует съемки для парикмахерских конкурсов, "&amp;"в которых принес 52 побед своим клиентам")</f>
        <v>- Топ-бьюти фотограф, специализируется на съемках парикмахерского искусства
- Работал со всемирно известными косметическими брендами, именитыми парикмахерами и колористами из России, Лондона и США
- Ежегодно реализует съемки для парикмахерских конкурсов, в которых принес 52 побед своим клиентам</v>
      </c>
    </row>
    <row r="196" spans="1:3" ht="12.75" x14ac:dyDescent="0.2">
      <c r="A196" s="1"/>
      <c r="B196" s="8" t="str">
        <f ca="1">IFERROR(__xludf.DUMMYFUNCTION("""COMPUTED_VALUE"""),"Павел Терский")</f>
        <v>Павел Терский</v>
      </c>
      <c r="C196" s="1" t="str">
        <f ca="1">IFERROR(__xludf.DUMMYFUNCTION("""COMPUTED_VALUE"""),"- Основатель агентства интернет-маркетинга «Знамя»
- Руководитель сети детских центров «Умник» в Кургане и Екатеринбурге
- Руководитель отдела продвижения мобильного приложения «POVOD»")</f>
        <v>- Основатель агентства интернет-маркетинга «Знамя»
- Руководитель сети детских центров «Умник» в Кургане и Екатеринбурге
- Руководитель отдела продвижения мобильного приложения «POVOD»</v>
      </c>
    </row>
    <row r="197" spans="1:3" ht="12.75" x14ac:dyDescent="0.2">
      <c r="A197" s="1"/>
      <c r="B197" s="8" t="str">
        <f ca="1">IFERROR(__xludf.DUMMYFUNCTION("""COMPUTED_VALUE"""),"Петр Кудасов")</f>
        <v>Петр Кудасов</v>
      </c>
      <c r="C197" s="1" t="str">
        <f ca="1">IFERROR(__xludf.DUMMYFUNCTION("""COMPUTED_VALUE"""),"- Эксперт по экспресс-найму и обучению продажников и руководителей отделов продаж
- Владелец 3-х действующих компаний
- Построил 47 отделов продаж, отсобеседовал 12 000 кандидатов
- Автор уникальной технологии найма за 3 дня
")</f>
        <v xml:space="preserve">- Эксперт по экспресс-найму и обучению продажников и руководителей отделов продаж
- Владелец 3-х действующих компаний
- Построил 47 отделов продаж, отсобеседовал 12 000 кандидатов
- Автор уникальной технологии найма за 3 дня
</v>
      </c>
    </row>
    <row r="198" spans="1:3" ht="12.75" x14ac:dyDescent="0.2">
      <c r="A198" s="1"/>
      <c r="B198" s="8" t="str">
        <f ca="1">IFERROR(__xludf.DUMMYFUNCTION("""COMPUTED_VALUE"""),"Полина Калашникова")</f>
        <v>Полина Калашникова</v>
      </c>
      <c r="C198" s="1" t="str">
        <f ca="1">IFERROR(__xludf.DUMMYFUNCTION("""COMPUTED_VALUE"""),"- Тренер-технолог по ораторскому мастерству и речевой импровизации
- Более 3 000 участников авторских тренингов
- Сертифицированный спикер со стажем более 9 лет
- Актриса театра импровизации с опытом 6 лет
- Диктор, озвучила более 10 аудиокниг")</f>
        <v>- Тренер-технолог по ораторскому мастерству и речевой импровизации
- Более 3 000 участников авторских тренингов
- Сертифицированный спикер со стажем более 9 лет
- Актриса театра импровизации с опытом 6 лет
- Диктор, озвучила более 10 аудиокниг</v>
      </c>
    </row>
    <row r="199" spans="1:3" ht="12.75" x14ac:dyDescent="0.2">
      <c r="A199" s="1"/>
      <c r="B199" s="8" t="str">
        <f ca="1">IFERROR(__xludf.DUMMYFUNCTION("""COMPUTED_VALUE"""),"Роман Полосьмак")</f>
        <v>Роман Полосьмак</v>
      </c>
      <c r="C199" s="1" t="str">
        <f ca="1">IFERROR(__xludf.DUMMYFUNCTION("""COMPUTED_VALUE"""),"- Руководитель тренинговой компании: максимальный прирост продаж после тренинга +450% в договорах
- Создал и продал 5 успешных бизнесов. За 2 года с нуля вывел в ТОП-3 в регионе свою строительную компанию
- 16 лет занимается активными продажами
- В 12 гор"&amp;"одах руководил продажами в международной компании «SEB GROUP»
- Автор книги «ДНК личных продаж»")</f>
        <v>- Руководитель тренинговой компании: максимальный прирост продаж после тренинга +450% в договорах
- Создал и продал 5 успешных бизнесов. За 2 года с нуля вывел в ТОП-3 в регионе свою строительную компанию
- 16 лет занимается активными продажами
- В 12 городах руководил продажами в международной компании «SEB GROUP»
- Автор книги «ДНК личных продаж»</v>
      </c>
    </row>
    <row r="200" spans="1:3" ht="12.75" x14ac:dyDescent="0.2">
      <c r="A200" s="1"/>
      <c r="B200" s="8" t="str">
        <f ca="1">IFERROR(__xludf.DUMMYFUNCTION("""COMPUTED_VALUE"""),"Руслан Авчинников")</f>
        <v>Руслан Авчинников</v>
      </c>
      <c r="C200" s="1" t="str">
        <f ca="1">IFERROR(__xludf.DUMMYFUNCTION("""COMPUTED_VALUE"""),"- Предприниматель с 10 летним стажем
- Совладелец маркетингового агентства SHEER (500+ проектов по созданию и продвижению сайтов за 9 лет) 
- Сертифицированный Бизнес-Трекер ФРИИ 
- Взошел на самую высокую точку Европы-Эльбрус 5 642 м. IRONMAN")</f>
        <v>- Предприниматель с 10 летним стажем
- Совладелец маркетингового агентства SHEER (500+ проектов по созданию и продвижению сайтов за 9 лет) 
- Сертифицированный Бизнес-Трекер ФРИИ 
- Взошел на самую высокую точку Европы-Эльбрус 5 642 м. IRONMAN</v>
      </c>
    </row>
    <row r="201" spans="1:3" ht="12.75" x14ac:dyDescent="0.2">
      <c r="A201" s="1"/>
      <c r="B201" s="8" t="str">
        <f ca="1">IFERROR(__xludf.DUMMYFUNCTION("""COMPUTED_VALUE"""),"Руслан Баликов")</f>
        <v>Руслан Баликов</v>
      </c>
      <c r="C201" s="1" t="str">
        <f ca="1">IFERROR(__xludf.DUMMYFUNCTION("""COMPUTED_VALUE"""),"- Управляющий партнёр BR Consulting Group. Предприниматель с 19-ти летним опытом, совладелец 6 успешных региональных и федеральных бизнес-проектов в сфере услуг, производства и ритейла
- Эксперт по технологиям ведения переговоров
- Квалифицированный консу"&amp;"льтант по операционному управлению и стратегическому развитию бизнеса
- Основатель ВСЕПЕРЕГОВОРЫ.РФ")</f>
        <v>- Управляющий партнёр BR Consulting Group. Предприниматель с 19-ти летним опытом, совладелец 6 успешных региональных и федеральных бизнес-проектов в сфере услуг, производства и ритейла
- Эксперт по технологиям ведения переговоров
- Квалифицированный консультант по операционному управлению и стратегическому развитию бизнеса
- Основатель ВСЕПЕРЕГОВОРЫ.РФ</v>
      </c>
    </row>
    <row r="202" spans="1:3" ht="12.75" x14ac:dyDescent="0.2">
      <c r="A202" s="1"/>
      <c r="B202" s="8" t="str">
        <f ca="1">IFERROR(__xludf.DUMMYFUNCTION("""COMPUTED_VALUE"""),"Рушан Гиниятов")</f>
        <v>Рушан Гиниятов</v>
      </c>
      <c r="C202" s="1" t="str">
        <f ca="1">IFERROR(__xludf.DUMMYFUNCTION("""COMPUTED_VALUE"""),"- Генеральный директор и основатель группы компаний G2R — это 6 направлений международного бизнеса, штат 75 человек, офисы в 3 трех странах мира, торговая площадка E-commerce, суммарный годовой рост продаж по группе в 2019 году 141% к предыдущему году
- Ч"&amp;"лен совета ЧОО «Опора России», член Магнитогорской Промышленной палаты
- Председатель «Российского Экспортного Клуба»
")</f>
        <v xml:space="preserve">- Генеральный директор и основатель группы компаний G2R — это 6 направлений международного бизнеса, штат 75 человек, офисы в 3 трех странах мира, торговая площадка E-commerce, суммарный годовой рост продаж по группе в 2019 году 141% к предыдущему году
- Член совета ЧОО «Опора России», член Магнитогорской Промышленной палаты
- Председатель «Российского Экспортного Клуба»
</v>
      </c>
    </row>
    <row r="203" spans="1:3" ht="12.75" x14ac:dyDescent="0.2">
      <c r="A203" s="1"/>
      <c r="B203" s="8" t="str">
        <f ca="1">IFERROR(__xludf.DUMMYFUNCTION("""COMPUTED_VALUE"""),"Сакара Елена")</f>
        <v>Сакара Елена</v>
      </c>
      <c r="C203" s="1" t="str">
        <f ca="1">IFERROR(__xludf.DUMMYFUNCTION("""COMPUTED_VALUE"""),"- Руководитель консультационного центра «Налог Бизнес Консалт»
- Председатель Общественного совета при МинПромТорге Республики Бурятия
- Председатель Комитета по бюджету и налогам БРО ООО МСП «Опора России»")</f>
        <v>- Руководитель консультационного центра «Налог Бизнес Консалт»
- Председатель Общественного совета при МинПромТорге Республики Бурятия
- Председатель Комитета по бюджету и налогам БРО ООО МСП «Опора России»</v>
      </c>
    </row>
    <row r="204" spans="1:3" ht="12.75" x14ac:dyDescent="0.2">
      <c r="A204" s="1"/>
      <c r="B204" s="8" t="str">
        <f ca="1">IFERROR(__xludf.DUMMYFUNCTION("""COMPUTED_VALUE"""),"Самостоятельная работа")</f>
        <v>Самостоятельная работа</v>
      </c>
      <c r="C204" s="1"/>
    </row>
    <row r="205" spans="1:3" ht="12.75" x14ac:dyDescent="0.2">
      <c r="A205" s="1"/>
      <c r="B205" s="8" t="str">
        <f ca="1">IFERROR(__xludf.DUMMYFUNCTION("""COMPUTED_VALUE"""),"Саян Галсандоржиев")</f>
        <v>Саян Галсандоржиев</v>
      </c>
      <c r="C205" s="1" t="str">
        <f ca="1">IFERROR(__xludf.DUMMYFUNCTION("""COMPUTED_VALUE"""),"- Совладелец крупнейшей клининговой компании «Байкал-Клининг»
- Построил группу компаний с совокупным оборотом 44 миллиона рублей за год
- Создал более 15 успешных компаний. В данный момент совладелец 3 компаний
- Основатель школы бизнеса для детей «Покол"&amp;"ение Лидеров»
- Руководитель Сообщества молодых предпринимателей Республики Бурятия")</f>
        <v>- Совладелец крупнейшей клининговой компании «Байкал-Клининг»
- Построил группу компаний с совокупным оборотом 44 миллиона рублей за год
- Создал более 15 успешных компаний. В данный момент совладелец 3 компаний
- Основатель школы бизнеса для детей «Поколение Лидеров»
- Руководитель Сообщества молодых предпринимателей Республики Бурятия</v>
      </c>
    </row>
    <row r="206" spans="1:3" ht="12.75" x14ac:dyDescent="0.2">
      <c r="A206" s="1"/>
      <c r="B206" s="8" t="str">
        <f ca="1">IFERROR(__xludf.DUMMYFUNCTION("""COMPUTED_VALUE"""),"Светлана Худякова")</f>
        <v>Светлана Худякова</v>
      </c>
      <c r="C206" s="1" t="str">
        <f ca="1">IFERROR(__xludf.DUMMYFUNCTION("""COMPUTED_VALUE"""),"- Директор Учебного центра «СКРИЖАЛЬ»
- Антикризисный-менеджер, бизнес-тренер по управленческой эффективности, достигла увеличения эффективности сотрудников на 200%, а операционной прибыли в 6 раз
- Преподаватель МГУ Высшей школы бизнеса для EMBA/MBA
- Ос"&amp;"нователь бизнес-школы для подростков – «Это Бизнес Детки»")</f>
        <v>- Директор Учебного центра «СКРИЖАЛЬ»
- Антикризисный-менеджер, бизнес-тренер по управленческой эффективности, достигла увеличения эффективности сотрудников на 200%, а операционной прибыли в 6 раз
- Преподаватель МГУ Высшей школы бизнеса для EMBA/MBA
- Основатель бизнес-школы для подростков – «Это Бизнес Детки»</v>
      </c>
    </row>
    <row r="207" spans="1:3" ht="12.75" x14ac:dyDescent="0.2">
      <c r="A207" s="1"/>
      <c r="B207" s="8" t="str">
        <f ca="1">IFERROR(__xludf.DUMMYFUNCTION("""COMPUTED_VALUE"""),"Семен Кибало")</f>
        <v>Семен Кибало</v>
      </c>
      <c r="C207" s="1" t="str">
        <f ca="1">IFERROR(__xludf.DUMMYFUNCTION("""COMPUTED_VALUE"""),"- Владелец фабрики по производству толстовок с логотипами UniFashion (оборот 30 млн. руб в год)
- Владелец крупнейшего в России агентства по организации бесшумных мероприятий в наушниках Silent Eve (клиенты BMW, Ашан, UNESCO)
- Автор книги «Охотник за иде"&amp;"ями: как найти дело жизни и сделать мир лучше»
- Совершил больше 100 прыжков с парашютом в 4 странах мира")</f>
        <v>- Владелец фабрики по производству толстовок с логотипами UniFashion (оборот 30 млн. руб в год)
- Владелец крупнейшего в России агентства по организации бесшумных мероприятий в наушниках Silent Eve (клиенты BMW, Ашан, UNESCO)
- Автор книги «Охотник за идеями: как найти дело жизни и сделать мир лучше»
- Совершил больше 100 прыжков с парашютом в 4 странах мира</v>
      </c>
    </row>
    <row r="208" spans="1:3" ht="12.75" x14ac:dyDescent="0.2">
      <c r="A208" s="1"/>
      <c r="B208" s="8" t="str">
        <f ca="1">IFERROR(__xludf.DUMMYFUNCTION("""COMPUTED_VALUE"""),"Сергей Акопян")</f>
        <v>Сергей Акопян</v>
      </c>
      <c r="C208" s="1" t="str">
        <f ca="1">IFERROR(__xludf.DUMMYFUNCTION("""COMPUTED_VALUE"""),"- Сооснователь и директор по продукту Преактум
- Разработка продуктов и управление командой разработки: сделал методологию и платформу по развитию молодежного предпринимательства: 23000 участников, 72 региона, &gt;2000 тысяч проектов, &gt;5 федеральных конкурсо"&amp;"в и &gt;60 мероприятий
- Создание B2B продуктов в области employer branding и рекрутинга: &gt;10 проектов с крупными компаниями (Splat, Mars, LinguaLeo, Почта России)
- Публично выступал в 3 частях света")</f>
        <v>- Сооснователь и директор по продукту Преактум
- Разработка продуктов и управление командой разработки: сделал методологию и платформу по развитию молодежного предпринимательства: 23000 участников, 72 региона, &gt;2000 тысяч проектов, &gt;5 федеральных конкурсов и &gt;60 мероприятий
- Создание B2B продуктов в области employer branding и рекрутинга: &gt;10 проектов с крупными компаниями (Splat, Mars, LinguaLeo, Почта России)
- Публично выступал в 3 частях света</v>
      </c>
    </row>
    <row r="209" spans="1:3" ht="12.75" x14ac:dyDescent="0.2">
      <c r="A209" s="1"/>
      <c r="B209" s="8" t="str">
        <f ca="1">IFERROR(__xludf.DUMMYFUNCTION("""COMPUTED_VALUE"""),"Сергей Алмазов")</f>
        <v>Сергей Алмазов</v>
      </c>
      <c r="C209" s="1" t="str">
        <f ca="1">IFERROR(__xludf.DUMMYFUNCTION("""COMPUTED_VALUE"""),"- Основатель и генеральный директор компании ДЕЛАЗИЯ. Оптовые поставки товаров из Азии
- Вице-президент по региональному развитию «Русско-Азиатского союза промышленников и предпринимателей» 
- Заместитель председателя комиссии по ВЭД и таможне Санкт-Петер"&amp;"бургского отделения «Опоры России» ")</f>
        <v xml:space="preserve">- Основатель и генеральный директор компании ДЕЛАЗИЯ. Оптовые поставки товаров из Азии
- Вице-президент по региональному развитию «Русско-Азиатского союза промышленников и предпринимателей» 
- Заместитель председателя комиссии по ВЭД и таможне Санкт-Петербургского отделения «Опоры России» </v>
      </c>
    </row>
    <row r="210" spans="1:3" ht="12.75" x14ac:dyDescent="0.2">
      <c r="A210" s="1"/>
      <c r="B210" s="8" t="str">
        <f ca="1">IFERROR(__xludf.DUMMYFUNCTION("""COMPUTED_VALUE"""),"Сергей Артюхов")</f>
        <v>Сергей Артюхов</v>
      </c>
      <c r="C210" s="1"/>
    </row>
    <row r="211" spans="1:3" ht="12.75" x14ac:dyDescent="0.2">
      <c r="A211" s="1"/>
      <c r="B211" s="8" t="str">
        <f ca="1">IFERROR(__xludf.DUMMYFUNCTION("""COMPUTED_VALUE"""),"Сергей Брыков")</f>
        <v>Сергей Брыков</v>
      </c>
      <c r="C211" s="1" t="str">
        <f ca="1">IFERROR(__xludf.DUMMYFUNCTION("""COMPUTED_VALUE"""),"- Сооснователь и совладелец компании «Киндер-Квест» 
- Совладелец сети балетных школ в г. Москве и г. Новосибирск 
- Совладелец «Московской детской школы предпринимательства» 
- Принес в компанию 20 млн. инвестиций
")</f>
        <v xml:space="preserve">- Сооснователь и совладелец компании «Киндер-Квест» 
- Совладелец сети балетных школ в г. Москве и г. Новосибирск 
- Совладелец «Московской детской школы предпринимательства» 
- Принес в компанию 20 млн. инвестиций
</v>
      </c>
    </row>
    <row r="212" spans="1:3" ht="12.75" x14ac:dyDescent="0.2">
      <c r="A212" s="1"/>
      <c r="B212" s="8" t="str">
        <f ca="1">IFERROR(__xludf.DUMMYFUNCTION("""COMPUTED_VALUE"""),"Сергей Голубев")</f>
        <v>Сергей Голубев</v>
      </c>
      <c r="C212" s="1" t="str">
        <f ca="1">IFERROR(__xludf.DUMMYFUNCTION("""COMPUTED_VALUE"""),"Генеральный директор Фонда социальных инвестиций")</f>
        <v>Генеральный директор Фонда социальных инвестиций</v>
      </c>
    </row>
    <row r="213" spans="1:3" ht="12.75" x14ac:dyDescent="0.2">
      <c r="A213" s="1"/>
      <c r="B213" s="8" t="str">
        <f ca="1">IFERROR(__xludf.DUMMYFUNCTION("""COMPUTED_VALUE"""),"Сергей Ивчинков")</f>
        <v>Сергей Ивчинков</v>
      </c>
      <c r="C213" s="1"/>
    </row>
    <row r="214" spans="1:3" ht="12.75" x14ac:dyDescent="0.2">
      <c r="A214" s="1"/>
      <c r="B214" s="8" t="str">
        <f ca="1">IFERROR(__xludf.DUMMYFUNCTION("""COMPUTED_VALUE"""),"Сергей Косенко")</f>
        <v>Сергей Косенко</v>
      </c>
      <c r="C214" s="1" t="str">
        <f ca="1">IFERROR(__xludf.DUMMYFUNCTION("""COMPUTED_VALUE"""),"Основатель Kosenko Retail Group, бизнес-блогер")</f>
        <v>Основатель Kosenko Retail Group, бизнес-блогер</v>
      </c>
    </row>
    <row r="215" spans="1:3" ht="12.75" x14ac:dyDescent="0.2">
      <c r="A215" s="1"/>
      <c r="B215" s="8" t="str">
        <f ca="1">IFERROR(__xludf.DUMMYFUNCTION("""COMPUTED_VALUE"""),"Сергей Мартынюк")</f>
        <v>Сергей Мартынюк</v>
      </c>
      <c r="C215" s="1" t="str">
        <f ca="1">IFERROR(__xludf.DUMMYFUNCTION("""COMPUTED_VALUE"""),"- Создатель и владелец юридической фирмы по защите интеллектуальной
собственности
- Владелец брокерской компании
- Эксперт в области интеллектуальной собственности")</f>
        <v>- Создатель и владелец юридической фирмы по защите интеллектуальной
собственности
- Владелец брокерской компании
- Эксперт в области интеллектуальной собственности</v>
      </c>
    </row>
    <row r="216" spans="1:3" ht="12.75" x14ac:dyDescent="0.2">
      <c r="A216" s="1"/>
      <c r="B216" s="8" t="str">
        <f ca="1">IFERROR(__xludf.DUMMYFUNCTION("""COMPUTED_VALUE"""),"Сергей Пономарев")</f>
        <v>Сергей Пономарев</v>
      </c>
      <c r="C216" s="1" t="str">
        <f ca="1">IFERROR(__xludf.DUMMYFUNCTION("""COMPUTED_VALUE"""),"- Основатель и владелец социальной сети «Росимпакт»
- Сооснователь и исполнительный директор международного центра импакт-инвестиций «Галилео» 
- Сооснователь глобальной платформы для импакт-инвесторов и социальных стартапов Camomile 
- Управленческий кон"&amp;"сультант, эксперт в области социального предпринимательства")</f>
        <v>- Основатель и владелец социальной сети «Росимпакт»
- Сооснователь и исполнительный директор международного центра импакт-инвестиций «Галилео» 
- Сооснователь глобальной платформы для импакт-инвесторов и социальных стартапов Camomile 
- Управленческий консультант, эксперт в области социального предпринимательства</v>
      </c>
    </row>
    <row r="217" spans="1:3" ht="12.75" x14ac:dyDescent="0.2">
      <c r="A217" s="1"/>
      <c r="B217" s="8" t="str">
        <f ca="1">IFERROR(__xludf.DUMMYFUNCTION("""COMPUTED_VALUE"""),"Сергей Савинов")</f>
        <v>Сергей Савинов</v>
      </c>
      <c r="C217" s="1" t="str">
        <f ca="1">IFERROR(__xludf.DUMMYFUNCTION("""COMPUTED_VALUE"""),"Управляющий партнер Русский консалтинг, Бизнес-консультант, бизнес-тренер, антикризисный управляющий, практик, специализируется на технологиях увеличении продаж, развития малого и среднего бизнеса, построении отделов продаж, эффективном управлении персона"&amp;"лом, открытие филиалов, франшиз")</f>
        <v>Управляющий партнер Русский консалтинг, Бизнес-консультант, бизнес-тренер, антикризисный управляющий, практик, специализируется на технологиях увеличении продаж, развития малого и среднего бизнеса, построении отделов продаж, эффективном управлении персоналом, открытие филиалов, франшиз</v>
      </c>
    </row>
    <row r="218" spans="1:3" ht="12.75" x14ac:dyDescent="0.2">
      <c r="A218" s="1"/>
      <c r="B218" s="8" t="str">
        <f ca="1">IFERROR(__xludf.DUMMYFUNCTION("""COMPUTED_VALUE"""),"Сергей Семенов")</f>
        <v>Сергей Семенов</v>
      </c>
      <c r="C218" s="1" t="str">
        <f ca="1">IFERROR(__xludf.DUMMYFUNCTION("""COMPUTED_VALUE"""),"Владелец компании «Эксперт-Маркетинг», бизнес-тренер, бизнес-консультант")</f>
        <v>Владелец компании «Эксперт-Маркетинг», бизнес-тренер, бизнес-консультант</v>
      </c>
    </row>
    <row r="219" spans="1:3" ht="12.75" x14ac:dyDescent="0.2">
      <c r="A219" s="1"/>
      <c r="B219" s="8" t="str">
        <f ca="1">IFERROR(__xludf.DUMMYFUNCTION("""COMPUTED_VALUE"""),"Сергей Теймуров")</f>
        <v>Сергей Теймуров</v>
      </c>
      <c r="C219" s="1" t="str">
        <f ca="1">IFERROR(__xludf.DUMMYFUNCTION("""COMPUTED_VALUE"""),"- Директор по маркетингу Персона Менеджмент
- Преподаватель Бизнес школы Персона
- Эксперт-маркетолог ")</f>
        <v xml:space="preserve">- Директор по маркетингу Персона Менеджмент
- Преподаватель Бизнес школы Персона
- Эксперт-маркетолог </v>
      </c>
    </row>
    <row r="220" spans="1:3" ht="12.75" x14ac:dyDescent="0.2">
      <c r="A220" s="1"/>
      <c r="B220" s="8" t="str">
        <f ca="1">IFERROR(__xludf.DUMMYFUNCTION("""COMPUTED_VALUE"""),"Сергей Турко
Александр Ляско")</f>
        <v>Сергей Турко
Александр Ляско</v>
      </c>
      <c r="C220" s="1" t="str">
        <f ca="1">IFERROR(__xludf.DUMMYFUNCTION("""COMPUTED_VALUE"""),"Сергей Турко: Преподаватель НИУ ВШЭ, читает авторский курс «Системное управление бизнес-процессами»
Александр Ляско: Доктор экономических наук, профессор РАНХиГС при Президенте РФ.")</f>
        <v>Сергей Турко: Преподаватель НИУ ВШЭ, читает авторский курс «Системное управление бизнес-процессами»
Александр Ляско: Доктор экономических наук, профессор РАНХиГС при Президенте РФ.</v>
      </c>
    </row>
    <row r="221" spans="1:3" ht="12.75" x14ac:dyDescent="0.2">
      <c r="A221" s="1"/>
      <c r="B221" s="8" t="str">
        <f ca="1">IFERROR(__xludf.DUMMYFUNCTION("""COMPUTED_VALUE"""),"Сергей Федюнин")</f>
        <v>Сергей Федюнин</v>
      </c>
      <c r="C221" s="1" t="str">
        <f ca="1">IFERROR(__xludf.DUMMYFUNCTION("""COMPUTED_VALUE"""),"- Руководитель агентства «Практика SMM»
- Создатель и автор контента сообщества «Практика SMM»
- Спикер и эксперт на вебинарах, семинарах и курсах по SMM
- С 2012 г. ведет сообщество «Практика SMM»")</f>
        <v>- Руководитель агентства «Практика SMM»
- Создатель и автор контента сообщества «Практика SMM»
- Спикер и эксперт на вебинарах, семинарах и курсах по SMM
- С 2012 г. ведет сообщество «Практика SMM»</v>
      </c>
    </row>
    <row r="222" spans="1:3" ht="12.75" x14ac:dyDescent="0.2">
      <c r="A222" s="1"/>
      <c r="B222" s="8" t="str">
        <f ca="1">IFERROR(__xludf.DUMMYFUNCTION("""COMPUTED_VALUE"""),"Сергей Филин")</f>
        <v>Сергей Филин</v>
      </c>
      <c r="C222" s="1" t="str">
        <f ca="1">IFERROR(__xludf.DUMMYFUNCTION("""COMPUTED_VALUE"""),"- Владелец различных малых предприятий с 1991 г. по настоящее время, в т.ч. «Института Директоров», который существует с 2003 г. и проводит около 100 семинаров и тренингов в год для руководителей и сотрудников аппаратов управления
- Преподаватель МВА с 19"&amp;"98 г. 
- Двадцатипятилетний опыт консультирования и тренингов по различным направлениям менеджмента")</f>
        <v>- Владелец различных малых предприятий с 1991 г. по настоящее время, в т.ч. «Института Директоров», который существует с 2003 г. и проводит около 100 семинаров и тренингов в год для руководителей и сотрудников аппаратов управления
- Преподаватель МВА с 1998 г. 
- Двадцатипятилетний опыт консультирования и тренингов по различным направлениям менеджмента</v>
      </c>
    </row>
    <row r="223" spans="1:3" ht="12.75" x14ac:dyDescent="0.2">
      <c r="A223" s="1"/>
      <c r="B223" s="8" t="str">
        <f ca="1">IFERROR(__xludf.DUMMYFUNCTION("""COMPUTED_VALUE"""),"Станислав Клиников")</f>
        <v>Станислав Клиников</v>
      </c>
      <c r="C223" s="1"/>
    </row>
    <row r="224" spans="1:3" ht="12.75" x14ac:dyDescent="0.2">
      <c r="A224" s="1"/>
      <c r="B224" s="8" t="str">
        <f ca="1">IFERROR(__xludf.DUMMYFUNCTION("""COMPUTED_VALUE"""),"Станислав Петрович Озимов")</f>
        <v>Станислав Петрович Озимов</v>
      </c>
      <c r="C224" s="1"/>
    </row>
    <row r="225" spans="1:3" ht="12.75" x14ac:dyDescent="0.2">
      <c r="A225" s="1"/>
      <c r="B225" s="8" t="str">
        <f ca="1">IFERROR(__xludf.DUMMYFUNCTION("""COMPUTED_VALUE"""),"Сурана Раднаева")</f>
        <v>Сурана Раднаева</v>
      </c>
      <c r="C225" s="1" t="str">
        <f ca="1">IFERROR(__xludf.DUMMYFUNCTION("""COMPUTED_VALUE"""),"- Предприниматель и основатель компании SinoRuss
- Директор по развитию рынка СНГ компании Watchdata
- Ведущий эксперт в деловых и информационных СМИ
- Владеет китайским, английским и польским языками
- Обеспечила экспорт и импорт с Китаем на сумму более "&amp;"10 млн. долл.")</f>
        <v>- Предприниматель и основатель компании SinoRuss
- Директор по развитию рынка СНГ компании Watchdata
- Ведущий эксперт в деловых и информационных СМИ
- Владеет китайским, английским и польским языками
- Обеспечила экспорт и импорт с Китаем на сумму более 10 млн. долл.</v>
      </c>
    </row>
    <row r="226" spans="1:3" ht="12.75" x14ac:dyDescent="0.2">
      <c r="A226" s="1"/>
      <c r="B226" s="8" t="str">
        <f ca="1">IFERROR(__xludf.DUMMYFUNCTION("""COMPUTED_VALUE"""),"Татьяна Задаянова")</f>
        <v>Татьяна Задаянова</v>
      </c>
      <c r="C226" s="1" t="str">
        <f ca="1">IFERROR(__xludf.DUMMYFUNCTION("""COMPUTED_VALUE"""),"- Федеральный эксперт-практик в направлениях «Гостиничное дело» и «Housekeeping»
- Отельер с опытом единовременного управления номерным фондом в 6000 единиц
- Практика управления НФ в международных отелях сети Kempinski, Design Hotels, а также малых средс"&amp;"тв размещения (мини-отели, хостелы) более 9 лет")</f>
        <v>- Федеральный эксперт-практик в направлениях «Гостиничное дело» и «Housekeeping»
- Отельер с опытом единовременного управления номерным фондом в 6000 единиц
- Практика управления НФ в международных отелях сети Kempinski, Design Hotels, а также малых средств размещения (мини-отели, хостелы) более 9 лет</v>
      </c>
    </row>
    <row r="227" spans="1:3" ht="12.75" x14ac:dyDescent="0.2">
      <c r="A227" s="1"/>
      <c r="B227" s="8" t="str">
        <f ca="1">IFERROR(__xludf.DUMMYFUNCTION("""COMPUTED_VALUE"""),"Татьяна Лебедева")</f>
        <v>Татьяна Лебедева</v>
      </c>
      <c r="C227" s="1" t="str">
        <f ca="1">IFERROR(__xludf.DUMMYFUNCTION("""COMPUTED_VALUE"""),"- Генеральный директор ООО «Корпорация событий»
- Основатель консалтингового центра «Академия бизнеса и рекламы»
- Стартап-наставник (более 200 бизнесов в сопровождении)
- Призёр конкурса «Предприниматель года» в номинации «Женское предпринимательство»
- "&amp;"Открыто 5 своих бизнесов с разных сферах: образовательный, ивент, бизнес по франшизе, консалтинг")</f>
        <v>- Генеральный директор ООО «Корпорация событий»
- Основатель консалтингового центра «Академия бизнеса и рекламы»
- Стартап-наставник (более 200 бизнесов в сопровождении)
- Призёр конкурса «Предприниматель года» в номинации «Женское предпринимательство»
- Открыто 5 своих бизнесов с разных сферах: образовательный, ивент, бизнес по франшизе, консалтинг</v>
      </c>
    </row>
    <row r="228" spans="1:3" ht="12.75" x14ac:dyDescent="0.2">
      <c r="A228" s="1"/>
      <c r="B228" s="8" t="str">
        <f ca="1">IFERROR(__xludf.DUMMYFUNCTION("""COMPUTED_VALUE"""),"Татьяна Новикова")</f>
        <v>Татьяна Новикова</v>
      </c>
      <c r="C228" s="1" t="str">
        <f ca="1">IFERROR(__xludf.DUMMYFUNCTION("""COMPUTED_VALUE"""),"- Парикмахер, который сделал бизнес, бьюти тренер
- Опыт салонов в Москве и Сочи
- Блогер @zlaya_machexa
- Владелец проф. магазина")</f>
        <v>- Парикмахер, который сделал бизнес, бьюти тренер
- Опыт салонов в Москве и Сочи
- Блогер @zlaya_machexa
- Владелец проф. магазина</v>
      </c>
    </row>
    <row r="229" spans="1:3" ht="12.75" x14ac:dyDescent="0.2">
      <c r="A229" s="1"/>
      <c r="B229" s="8" t="str">
        <f ca="1">IFERROR(__xludf.DUMMYFUNCTION("""COMPUTED_VALUE"""),"Тимур Рагга")</f>
        <v>Тимур Рагга</v>
      </c>
      <c r="C229" s="1" t="str">
        <f ca="1">IFERROR(__xludf.DUMMYFUNCTION("""COMPUTED_VALUE"""),"
- Тренер по речи и развитию харизмы
- Эксперт по выступлениям в онлайн формате, руководитель тренинг-центра «10 историй»
- Коуч ICF 
")</f>
        <v xml:space="preserve">
- Тренер по речи и развитию харизмы
- Эксперт по выступлениям в онлайн формате, руководитель тренинг-центра «10 историй»
- Коуч ICF 
</v>
      </c>
    </row>
    <row r="230" spans="1:3" ht="12.75" x14ac:dyDescent="0.2">
      <c r="A230" s="1"/>
      <c r="B230" s="8" t="str">
        <f ca="1">IFERROR(__xludf.DUMMYFUNCTION("""COMPUTED_VALUE"""),"Чермен Дзотов")</f>
        <v>Чермен Дзотов</v>
      </c>
      <c r="C230" s="1" t="str">
        <f ca="1">IFERROR(__xludf.DUMMYFUNCTION("""COMPUTED_VALUE"""),"- Президент клуба предпринимателей BizTus
- 7 лет в маркетинге
- 540 публикаций в Яндекс новостях
- 998 экспертов, которым помог с личным брендом
- 481 000 подписчиков в инстаграм")</f>
        <v>- Президент клуба предпринимателей BizTus
- 7 лет в маркетинге
- 540 публикаций в Яндекс новостях
- 998 экспертов, которым помог с личным брендом
- 481 000 подписчиков в инстаграм</v>
      </c>
    </row>
    <row r="231" spans="1:3" ht="12.75" x14ac:dyDescent="0.2">
      <c r="A231" s="1"/>
      <c r="B231" s="8" t="str">
        <f ca="1">IFERROR(__xludf.DUMMYFUNCTION("""COMPUTED_VALUE"""),"Шляков Константин")</f>
        <v>Шляков Константин</v>
      </c>
      <c r="C231" s="1" t="str">
        <f ca="1">IFERROR(__xludf.DUMMYFUNCTION("""COMPUTED_VALUE"""),"- Более 5 лет ведет консультации на тему Social Media Marketing и мастер-классы на Всероссийских проектах страны
- На сегодняшний день принимает постоянное участие в качестве SMM-менеджера проекта Всероссийской школы «ПРОГРЕСС»
- Оператор-монтажер YouTu"&amp;"be канала Кати Конасовой")</f>
        <v>- Более 5 лет ведет консультации на тему Social Media Marketing и мастер-классы на Всероссийских проектах страны
- На сегодняшний день принимает постоянное участие в качестве SMM-менеджера проекта Всероссийской школы «ПРОГРЕСС»
- Оператор-монтажер YouTube канала Кати Конасовой</v>
      </c>
    </row>
    <row r="232" spans="1:3" ht="12.75" x14ac:dyDescent="0.2">
      <c r="A232" s="1"/>
      <c r="B232" s="8" t="str">
        <f ca="1">IFERROR(__xludf.DUMMYFUNCTION("""COMPUTED_VALUE"""),"Эксперт из команды ""Персона""")</f>
        <v>Эксперт из команды "Персона"</v>
      </c>
      <c r="C232" s="1"/>
    </row>
    <row r="233" spans="1:3" ht="12.75" x14ac:dyDescent="0.2">
      <c r="A233" s="1"/>
      <c r="B233" s="8" t="str">
        <f ca="1">IFERROR(__xludf.DUMMYFUNCTION("""COMPUTED_VALUE"""),"Элина Оруджева")</f>
        <v>Элина Оруджева</v>
      </c>
      <c r="C233" s="1"/>
    </row>
    <row r="234" spans="1:3" ht="12.75" x14ac:dyDescent="0.2">
      <c r="A234" s="1"/>
      <c r="B234" s="8" t="str">
        <f ca="1">IFERROR(__xludf.DUMMYFUNCTION("""COMPUTED_VALUE"""),"Элина Чернявская")</f>
        <v>Элина Чернявская</v>
      </c>
      <c r="C234" s="1" t="str">
        <f ca="1">IFERROR(__xludf.DUMMYFUNCTION("""COMPUTED_VALUE"""),"- Ментор предпринимателей. Тренер по личной эффективности. В бизнесе 10 лет
- Вошла Топ-50 Генеральных директоров в сфере «Образование» по версии федерального журнала «Генеральный директор»
- Лидер группы в женском сообществе PRO WOMEN: pro mindfulness wo"&amp;"men
- Специалист по работе с подсознанием, ограничивающими убеждениями, страхами. Тета-практик
- Член Ассоциации Спикеров Санкт-Петербурга")</f>
        <v>- Ментор предпринимателей. Тренер по личной эффективности. В бизнесе 10 лет
- Вошла Топ-50 Генеральных директоров в сфере «Образование» по версии федерального журнала «Генеральный директор»
- Лидер группы в женском сообществе PRO WOMEN: pro mindfulness women
- Специалист по работе с подсознанием, ограничивающими убеждениями, страхами. Тета-практик
- Член Ассоциации Спикеров Санкт-Петербурга</v>
      </c>
    </row>
    <row r="235" spans="1:3" ht="12.75" x14ac:dyDescent="0.2">
      <c r="A235" s="1"/>
      <c r="B235" s="8" t="str">
        <f ca="1">IFERROR(__xludf.DUMMYFUNCTION("""COMPUTED_VALUE"""),"Юлия Васильева")</f>
        <v>Юлия Васильева</v>
      </c>
      <c r="C235" s="1" t="str">
        <f ca="1">IFERROR(__xludf.DUMMYFUNCTION("""COMPUTED_VALUE"""),"- Преподаватель Школы стилистов Персона")</f>
        <v>- Преподаватель Школы стилистов Персона</v>
      </c>
    </row>
    <row r="236" spans="1:3" ht="12.75" x14ac:dyDescent="0.2">
      <c r="A236" s="1"/>
      <c r="B236" s="8" t="str">
        <f ca="1">IFERROR(__xludf.DUMMYFUNCTION("""COMPUTED_VALUE"""),"Юлия Гонта")</f>
        <v>Юлия Гонта</v>
      </c>
      <c r="C236" s="1" t="str">
        <f ca="1">IFERROR(__xludf.DUMMYFUNCTION("""COMPUTED_VALUE"""),"- Преподаватель Школы стилитов Персона
- Гример на ВГТРК, стилист-визажист проектов на ТНТ и СТС ")</f>
        <v xml:space="preserve">- Преподаватель Школы стилитов Персона
- Гример на ВГТРК, стилист-визажист проектов на ТНТ и СТС </v>
      </c>
    </row>
    <row r="237" spans="1:3" ht="12.75" x14ac:dyDescent="0.2">
      <c r="A237" s="1"/>
      <c r="B237" s="8" t="str">
        <f ca="1">IFERROR(__xludf.DUMMYFUNCTION("""COMPUTED_VALUE"""),"Юлия Деверилина")</f>
        <v>Юлия Деверилина</v>
      </c>
      <c r="C237" s="1" t="str">
        <f ca="1">IFERROR(__xludf.DUMMYFUNCTION("""COMPUTED_VALUE"""),"- Владелица двух имидж-лабораторий Персона в Москве
- Опытный HR-специалист
- Преподаватель Бизнес-школы Персона
")</f>
        <v xml:space="preserve">- Владелица двух имидж-лабораторий Персона в Москве
- Опытный HR-специалист
- Преподаватель Бизнес-школы Персона
</v>
      </c>
    </row>
    <row r="238" spans="1:3" ht="12.75" x14ac:dyDescent="0.2">
      <c r="A238" s="1"/>
      <c r="B238" s="8" t="str">
        <f ca="1">IFERROR(__xludf.DUMMYFUNCTION("""COMPUTED_VALUE"""),"Юлия Ельчанинова")</f>
        <v>Юлия Ельчанинова</v>
      </c>
      <c r="C238" s="1" t="str">
        <f ca="1">IFERROR(__xludf.DUMMYFUNCTION("""COMPUTED_VALUE"""),"Эксперт в области дизайна клиентского опыта, исследователь, фасилитатор. Преподаватель программ МГУ им. Ломоносова «Креативные техники для создания новых продуктов и услуг» и Британской высшей школы дизайна «Дизайн-мышление»")</f>
        <v>Эксперт в области дизайна клиентского опыта, исследователь, фасилитатор. Преподаватель программ МГУ им. Ломоносова «Креативные техники для создания новых продуктов и услуг» и Британской высшей школы дизайна «Дизайн-мышление»</v>
      </c>
    </row>
    <row r="239" spans="1:3" ht="12.75" x14ac:dyDescent="0.2">
      <c r="A239" s="1"/>
      <c r="B239" s="8" t="str">
        <f ca="1">IFERROR(__xludf.DUMMYFUNCTION("""COMPUTED_VALUE"""),"Юлия Калачева")</f>
        <v>Юлия Калачева</v>
      </c>
      <c r="C239" s="1" t="str">
        <f ca="1">IFERROR(__xludf.DUMMYFUNCTION("""COMPUTED_VALUE"""),"- Эксперт в проведении крупных форумов (более 540 событий в 29 странах) 
- Эксперт в организации международных конференций страны
- Организатор проекта просвещения «Кадры для цифровой экономики» 
- Спикер и руководитель образовательных программ для МинЭк "&amp;"РФ, Сбербанка, НИУ ВШЭ, РАНХиГС")</f>
        <v>- Эксперт в проведении крупных форумов (более 540 событий в 29 странах) 
- Эксперт в организации международных конференций страны
- Организатор проекта просвещения «Кадры для цифровой экономики» 
- Спикер и руководитель образовательных программ для МинЭк РФ, Сбербанка, НИУ ВШЭ, РАНХиГС</v>
      </c>
    </row>
    <row r="240" spans="1:3" ht="12.75" x14ac:dyDescent="0.2">
      <c r="A240" s="1"/>
      <c r="B240" s="8" t="str">
        <f ca="1">IFERROR(__xludf.DUMMYFUNCTION("""COMPUTED_VALUE"""),"Юлия Михайлычева")</f>
        <v>Юлия Михайлычева</v>
      </c>
      <c r="C240" s="1" t="str">
        <f ca="1">IFERROR(__xludf.DUMMYFUNCTION("""COMPUTED_VALUE"""),"- Эксперт в области бухучета и налогов
- Предприниматель
- Основатель собственных курсов по бухгалтерскому учету и налогообложению
- Более 12 лет финансовый директор собственной компании
- Более 100 учеников прошли обучение по аудиту, бухучету и налогообл"&amp;"ожению")</f>
        <v>- Эксперт в области бухучета и налогов
- Предприниматель
- Основатель собственных курсов по бухгалтерскому учету и налогообложению
- Более 12 лет финансовый директор собственной компании
- Более 100 учеников прошли обучение по аудиту, бухучету и налогообложению</v>
      </c>
    </row>
    <row r="241" spans="1:3" ht="12.75" x14ac:dyDescent="0.2">
      <c r="A241" s="1"/>
      <c r="B241" s="8" t="str">
        <f ca="1">IFERROR(__xludf.DUMMYFUNCTION("""COMPUTED_VALUE"""),"Юлия Мичри")</f>
        <v>Юлия Мичри</v>
      </c>
      <c r="C241" s="1" t="str">
        <f ca="1">IFERROR(__xludf.DUMMYFUNCTION("""COMPUTED_VALUE"""),"Сооснователь digital-агентства LEYB, экс-генеральный продюсер канала Дмитрия Портнягина «Трансформатор»")</f>
        <v>Сооснователь digital-агентства LEYB, экс-генеральный продюсер канала Дмитрия Портнягина «Трансформатор»</v>
      </c>
    </row>
    <row r="242" spans="1:3" ht="12.75" x14ac:dyDescent="0.2">
      <c r="A242" s="1"/>
      <c r="B242" s="8" t="str">
        <f ca="1">IFERROR(__xludf.DUMMYFUNCTION("""COMPUTED_VALUE"""),"Юрий Павленко")</f>
        <v>Юрий Павленко</v>
      </c>
      <c r="C242" s="1" t="str">
        <f ca="1">IFERROR(__xludf.DUMMYFUNCTION("""COMPUTED_VALUE"""),"- Руководитель лаборатории профессиональной коммуникации PROCOMLab
- Тренер Международного Центра Процессуальной Работы в России ICPW, член международной ассоциации фасилитаторов IAF
- Обучил более 10 000 человек навыкам коммуникации и управления, провел "&amp;"более 300 стратегических сессий и проектов в сфере оценки, отбора и обучения персонала
- Член международной ассоциации процессуально-ориентированной психологии IAPOP")</f>
        <v>- Руководитель лаборатории профессиональной коммуникации PROCOMLab
- Тренер Международного Центра Процессуальной Работы в России ICPW, член международной ассоциации фасилитаторов IAF
- Обучил более 10 000 человек навыкам коммуникации и управления, провел более 300 стратегических сессий и проектов в сфере оценки, отбора и обучения персонала
- Член международной ассоциации процессуально-ориентированной психологии IAPOP</v>
      </c>
    </row>
    <row r="243" spans="1:3" ht="12.75" x14ac:dyDescent="0.2">
      <c r="A243" s="1"/>
      <c r="B243" s="8" t="str">
        <f ca="1">IFERROR(__xludf.DUMMYFUNCTION("""COMPUTED_VALUE"""),"Юрий Шабаров")</f>
        <v>Юрий Шабаров</v>
      </c>
      <c r="C243" s="1" t="str">
        <f ca="1">IFERROR(__xludf.DUMMYFUNCTION("""COMPUTED_VALUE"""),"- 11 лет в продажах, осуществлял продажи по телефону, на встречах и заключал миллионные сделки
- Автор книг о продажах «Возражений. NET» и «Продажи в переписках»")</f>
        <v>- 11 лет в продажах, осуществлял продажи по телефону, на встречах и заключал миллионные сделки
- Автор книг о продажах «Возражений. NET» и «Продажи в переписках»</v>
      </c>
    </row>
    <row r="244" spans="1:3" ht="12.75" x14ac:dyDescent="0.2">
      <c r="A244" s="1"/>
      <c r="B244" s="8" t="str">
        <f ca="1">IFERROR(__xludf.DUMMYFUNCTION("""COMPUTED_VALUE"""),"Яна Бабанина")</f>
        <v>Яна Бабанина</v>
      </c>
      <c r="C244" s="1" t="str">
        <f ca="1">IFERROR(__xludf.DUMMYFUNCTION("""COMPUTED_VALUE"""),"- Исполнительный директор, руководитель программ развития персонала и партнер GET Global Russia
- 15 лет опыта в коучинге, тренинге и консультировании первых лиц, ведущая сессии для проекта МинЭкономРазвития 
- Создатель и руководитель дошкольного детског"&amp;"о центра «Развитие»
- Международный коуч в британской компании BTS (крупный IT интегратор)")</f>
        <v>- Исполнительный директор, руководитель программ развития персонала и партнер GET Global Russia
- 15 лет опыта в коучинге, тренинге и консультировании первых лиц, ведущая сессии для проекта МинЭкономРазвития 
- Создатель и руководитель дошкольного детского центра «Развитие»
- Международный коуч в британской компании BTS (крупный IT интегратор)</v>
      </c>
    </row>
    <row r="245" spans="1:3" ht="12.75" x14ac:dyDescent="0.2">
      <c r="A245" s="1"/>
      <c r="B245" s="8" t="str">
        <f ca="1">IFERROR(__xludf.DUMMYFUNCTION("""COMPUTED_VALUE"""),"Яна Юзипович")</f>
        <v>Яна Юзипович</v>
      </c>
      <c r="C245" s="1" t="str">
        <f ca="1">IFERROR(__xludf.DUMMYFUNCTION("""COMPUTED_VALUE"""),"- Продакт маркетинг менеджер CopyMonkey
- 10 лет опыта в Customer Success и Business Development в международных компаниях
- Трекер в акселерационных программах
- Преподаватель-практик и ментор для стартапов")</f>
        <v>- Продакт маркетинг менеджер CopyMonkey
- 10 лет опыта в Customer Success и Business Development в международных компаниях
- Трекер в акселерационных программах
- Преподаватель-практик и ментор для стартапов</v>
      </c>
    </row>
    <row r="246" spans="1:3" ht="12.75" x14ac:dyDescent="0.2">
      <c r="A246" s="1"/>
      <c r="B246" s="8" t="str">
        <f ca="1">IFERROR(__xludf.DUMMYFUNCTION("""COMPUTED_VALUE"""),"Ярослав Фешин")</f>
        <v>Ярослав Фешин</v>
      </c>
      <c r="C246" s="1" t="str">
        <f ca="1">IFERROR(__xludf.DUMMYFUNCTION("""COMPUTED_VALUE"""),"- Эксперт по российским и зарубежным маркетплейсам
- Опыт работы в электронной коммерции более 3 лет в крупнейшей международной компании 
- Владелец нескольких брендов: мужская косметика, аксессуары для кухни, посуда и инвентарь, украшения для обуви
- Пар"&amp;"тнерская сеть мужской косметики «Fallkony» насчитывает более 50 салонов красоты/барбершопов, 3 дистрибьютора в РФ и СНГ")</f>
        <v>- Эксперт по российским и зарубежным маркетплейсам
- Опыт работы в электронной коммерции более 3 лет в крупнейшей международной компании 
- Владелец нескольких брендов: мужская косметика, аксессуары для кухни, посуда и инвентарь, украшения для обуви
- Партнерская сеть мужской косметики «Fallkony» насчитывает более 50 салонов красоты/барбершопов, 3 дистрибьютора в РФ и СНГ</v>
      </c>
    </row>
    <row r="247" spans="1:3" ht="12.75" x14ac:dyDescent="0.2">
      <c r="A247" s="1"/>
      <c r="B247" s="8" t="str">
        <f ca="1">IFERROR(__xludf.DUMMYFUNCTION("""COMPUTED_VALUE"""),"кто то стер фамилию")</f>
        <v>кто то стер фамилию</v>
      </c>
      <c r="C247" s="1" t="str">
        <f ca="1">IFERROR(__xludf.DUMMYFUNCTION("""COMPUTED_VALUE"""),"Генеральный Директор и сооснователь компании «Нескучные финансы», эксперт по управлению командой и финансовому планированию")</f>
        <v>Генеральный Директор и сооснователь компании «Нескучные финансы», эксперт по управлению командой и финансовому планированию</v>
      </c>
    </row>
    <row r="248" spans="1:3" ht="12.75" x14ac:dyDescent="0.2">
      <c r="A248" s="1"/>
      <c r="B248" s="8" t="str">
        <f ca="1">IFERROR(__xludf.DUMMYFUNCTION("""COMPUTED_VALUE"""),"Денис Богданов")</f>
        <v>Денис Богданов</v>
      </c>
      <c r="C248" s="1" t="str">
        <f ca="1">IFERROR(__xludf.DUMMYFUNCTION("""COMPUTED_VALUE"""),"- Владелец видеостудии и шоу-вебинаров videobrand
- Организатор масштабных мероприятий и онлайн конференций
- Основатель образовательного it проекта «макуниверситет»
- Радиоведущий авторской еженедельной передачи на макс-fm")</f>
        <v>- Владелец видеостудии и шоу-вебинаров videobrand
- Организатор масштабных мероприятий и онлайн конференций
- Основатель образовательного it проекта «макуниверситет»
- Радиоведущий авторской еженедельной передачи на макс-fm</v>
      </c>
    </row>
    <row r="249" spans="1:3" ht="12.75" x14ac:dyDescent="0.2">
      <c r="A249" s="1"/>
      <c r="B249" s="8" t="str">
        <f ca="1">IFERROR(__xludf.DUMMYFUNCTION("""COMPUTED_VALUE"""),"Артем Соколов")</f>
        <v>Артем Соколов</v>
      </c>
      <c r="C249" s="1" t="str">
        <f ca="1">IFERROR(__xludf.DUMMYFUNCTION("""COMPUTED_VALUE"""),"- Директор по маркетингу компании InSales (с 2010 г)
- Основатель компании «Баланс белого» 
- Основатель крафт-бара «Выдержка» 
- Сооснователь магазина подарков для фотографов Fotololo")</f>
        <v>- Директор по маркетингу компании InSales (с 2010 г)
- Основатель компании «Баланс белого» 
- Основатель крафт-бара «Выдержка» 
- Сооснователь магазина подарков для фотографов Fotololo</v>
      </c>
    </row>
    <row r="250" spans="1:3" ht="12.75" x14ac:dyDescent="0.2">
      <c r="A250" s="1"/>
      <c r="B250" s="8" t="str">
        <f ca="1">IFERROR(__xludf.DUMMYFUNCTION("""COMPUTED_VALUE"""),"Сергей Самсоненко")</f>
        <v>Сергей Самсоненко</v>
      </c>
      <c r="C250" s="1" t="str">
        <f ca="1">IFERROR(__xludf.DUMMYFUNCTION("""COMPUTED_VALUE"""),"- Ведущий специалист по онлайн-торговле, обучению и развитию клиентского сервиса InSales
- В сфере eCommerce работает более 5 лет
- Постоянный спикер и ведущий конференций и вебинаров")</f>
        <v>- Ведущий специалист по онлайн-торговле, обучению и развитию клиентского сервиса InSales
- В сфере eCommerce работает более 5 лет
- Постоянный спикер и ведущий конференций и вебинаров</v>
      </c>
    </row>
    <row r="251" spans="1:3" ht="12.75" x14ac:dyDescent="0.2">
      <c r="A251" s="1"/>
      <c r="B251" s="8" t="str">
        <f ca="1">IFERROR(__xludf.DUMMYFUNCTION("""COMPUTED_VALUE"""),"Бессонова Татьяна")</f>
        <v>Бессонова Татьяна</v>
      </c>
      <c r="C251" s="1" t="str">
        <f ca="1">IFERROR(__xludf.DUMMYFUNCTION("""COMPUTED_VALUE"""),"- Трекер предпринимателей
- Помогает предпринимателям ускорять рост бизнеса и запускать новые проекты в акселерационных программах или индивидуально.")</f>
        <v>- Трекер предпринимателей
- Помогает предпринимателям ускорять рост бизнеса и запускать новые проекты в акселерационных программах или индивидуально.</v>
      </c>
    </row>
    <row r="252" spans="1:3" ht="12.75" x14ac:dyDescent="0.2">
      <c r="A252" s="1"/>
      <c r="B252" s="8" t="str">
        <f ca="1">IFERROR(__xludf.DUMMYFUNCTION("""COMPUTED_VALUE"""),"Оксана Сухова ")</f>
        <v xml:space="preserve">Оксана Сухова </v>
      </c>
      <c r="C252" s="1" t="str">
        <f ca="1">IFERROR(__xludf.DUMMYFUNCTION("""COMPUTED_VALUE"""),"- Подолог, специалист по медицинскому маникюру
- Основатель школы и студии маникюра и педикюра
- Мастер с медицинским образованием 
- В профессии с 2002 года")</f>
        <v>- Подолог, специалист по медицинскому маникюру
- Основатель школы и студии маникюра и педикюра
- Мастер с медицинским образованием 
- В профессии с 2002 года</v>
      </c>
    </row>
    <row r="253" spans="1:3" ht="12.75" x14ac:dyDescent="0.2">
      <c r="A253" s="1"/>
      <c r="B253" s="8" t="str">
        <f ca="1">IFERROR(__xludf.DUMMYFUNCTION("""COMPUTED_VALUE"""),"Сергей Болисов")</f>
        <v>Сергей Болисов</v>
      </c>
      <c r="C253" s="1"/>
    </row>
    <row r="254" spans="1:3" ht="12.75" x14ac:dyDescent="0.2">
      <c r="A254" s="1"/>
      <c r="B254" s="8" t="str">
        <f ca="1">IFERROR(__xludf.DUMMYFUNCTION("""COMPUTED_VALUE"""),"Егор Попов")</f>
        <v>Егор Попов</v>
      </c>
      <c r="C254" s="1" t="str">
        <f ca="1">IFERROR(__xludf.DUMMYFUNCTION("""COMPUTED_VALUE"""),"- 3,5 года официальный партнер самого быстрорастущего маркетплейса России KazanExpress
- Обучил более 7 000 человек из которых 3 500 запустили магазин
- Владелец интернет-магазина кухонных принадлежностей «KAYAKI» на маркетплейсах")</f>
        <v>- 3,5 года официальный партнер самого быстрорастущего маркетплейса России KazanExpress
- Обучил более 7 000 человек из которых 3 500 запустили магазин
- Владелец интернет-магазина кухонных принадлежностей «KAYAKI» на маркетплейсах</v>
      </c>
    </row>
    <row r="255" spans="1:3" ht="12.75" x14ac:dyDescent="0.2">
      <c r="A255" s="1"/>
      <c r="B255" s="8" t="str">
        <f ca="1">IFERROR(__xludf.DUMMYFUNCTION("""COMPUTED_VALUE"""),"Наталья Марченкова")</f>
        <v>Наталья Марченкова</v>
      </c>
      <c r="C255" s="1" t="str">
        <f ca="1">IFERROR(__xludf.DUMMYFUNCTION("""COMPUTED_VALUE"""),"- Сертифицированный тренер Федеральной акселерационной программы по социальному предпринимательству
- Автор семинаров по социальному предпринимательству, социальному франчайзингу, финансовому менеджменту и стратегическому планированию
- Консультант, дейст"&amp;"вующий предприниматель")</f>
        <v>- Сертифицированный тренер Федеральной акселерационной программы по социальному предпринимательству
- Автор семинаров по социальному предпринимательству, социальному франчайзингу, финансовому менеджменту и стратегическому планированию
- Консультант, действующий предприниматель</v>
      </c>
    </row>
    <row r="256" spans="1:3" ht="12.75" x14ac:dyDescent="0.2">
      <c r="A256" s="1"/>
      <c r="B256" s="8" t="str">
        <f ca="1">IFERROR(__xludf.DUMMYFUNCTION("""COMPUTED_VALUE"""),"Лариса Ежова")</f>
        <v>Лариса Ежова</v>
      </c>
      <c r="C256" s="1" t="str">
        <f ca="1">IFERROR(__xludf.DUMMYFUNCTION("""COMPUTED_VALUE"""),"
- Автор и ведущая тренингов
- Действующий предприниматель
")</f>
        <v xml:space="preserve">
- Автор и ведущая тренингов
- Действующий предприниматель
</v>
      </c>
    </row>
    <row r="257" spans="1:3" ht="12.75" x14ac:dyDescent="0.2">
      <c r="A257" s="1"/>
      <c r="B257" s="8" t="str">
        <f ca="1">IFERROR(__xludf.DUMMYFUNCTION("""COMPUTED_VALUE"""),"Анна Яни")</f>
        <v>Анна Яни</v>
      </c>
      <c r="C257" s="1"/>
    </row>
    <row r="258" spans="1:3" ht="12.75" x14ac:dyDescent="0.2">
      <c r="A258" s="1"/>
      <c r="B258" s="8" t="str">
        <f ca="1">IFERROR(__xludf.DUMMYFUNCTION("""COMPUTED_VALUE"""),"Виктория Литвинова")</f>
        <v>Виктория Литвинова</v>
      </c>
      <c r="C258" s="1" t="str">
        <f ca="1">IFERROR(__xludf.DUMMYFUNCTION("""COMPUTED_VALUE"""),"- Геймификатор, модератор, тренер гибких навыков (soft-skills)
- Почетный работник сферы молоежной политики РФ
- Писатель, автор 2 книг
- Методист, разработчик образовательных программ в сфере неформального образования")</f>
        <v>- Геймификатор, модератор, тренер гибких навыков (soft-skills)
- Почетный работник сферы молоежной политики РФ
- Писатель, автор 2 книг
- Методист, разработчик образовательных программ в сфере неформального образования</v>
      </c>
    </row>
    <row r="259" spans="1:3" ht="12.75" x14ac:dyDescent="0.2">
      <c r="A259" s="1"/>
      <c r="B259" s="8" t="str">
        <f ca="1">IFERROR(__xludf.DUMMYFUNCTION("""COMPUTED_VALUE"""),"Людмила Федорова")</f>
        <v>Людмила Федорова</v>
      </c>
      <c r="C259" s="1" t="str">
        <f ca="1">IFERROR(__xludf.DUMMYFUNCTION("""COMPUTED_VALUE"""),"- Со-основатель консалтинговой компании SkyLex (Шэнчжэнь)
- Компания Skylex Group почти 10 лет работает на территории Китая — оказывает услуги по выводу бизнеса на рынок Китая, сопровождает ведение бизнеса более чем 30 российских компаний, занимается орга"&amp;"низацией инвестиционной и операционной деятельности на территории Китая, а также экспортом продуктов из России в Китай")</f>
        <v>- Со-основатель консалтинговой компании SkyLex (Шэнчжэнь)
- Компания Skylex Group почти 10 лет работает на территории Китая — оказывает услуги по выводу бизнеса на рынок Китая, сопровождает ведение бизнеса более чем 30 российских компаний, занимается организацией инвестиционной и операционной деятельности на территории Китая, а также экспортом продуктов из России в Китай</v>
      </c>
    </row>
    <row r="260" spans="1:3" ht="12.75" x14ac:dyDescent="0.2">
      <c r="A260" s="1"/>
      <c r="B260" s="8" t="str">
        <f ca="1">IFERROR(__xludf.DUMMYFUNCTION("""COMPUTED_VALUE"""),"Анастасия Потиевская")</f>
        <v>Анастасия Потиевская</v>
      </c>
      <c r="C260" s="1" t="str">
        <f ca="1">IFERROR(__xludf.DUMMYFUNCTION("""COMPUTED_VALUE"""),"- Эксперт по онлайн-продвижению центра China Professionals
- Соучредитель консалтинговой компаниии ALONSY Business &amp; Cultural Management (Шанхай)
- Имеет обширный опыт в консультировании российских брендов в категориях food&amp;beverages, b2b commodities, edt"&amp;"ech, здоровье, косметика, оказывает услуги по продвижению их на рынок Китая")</f>
        <v>- Эксперт по онлайн-продвижению центра China Professionals
- Соучредитель консалтинговой компаниии ALONSY Business &amp; Cultural Management (Шанхай)
- Имеет обширный опыт в консультировании российских брендов в категориях food&amp;beverages, b2b commodities, edtech, здоровье, косметика, оказывает услуги по продвижению их на рынок Китая</v>
      </c>
    </row>
    <row r="261" spans="1:3" ht="12.75" x14ac:dyDescent="0.2">
      <c r="A261" s="1"/>
      <c r="B261" s="8" t="str">
        <f ca="1">IFERROR(__xludf.DUMMYFUNCTION("""COMPUTED_VALUE"""),"Дмитрий Ромашов")</f>
        <v>Дмитрий Ромашов</v>
      </c>
      <c r="C261" s="1" t="str">
        <f ca="1">IFERROR(__xludf.DUMMYFUNCTION("""COMPUTED_VALUE"""),"- Руководитель направления дивизиона внешнеэкономического партнёрства
- Руководитель программы Экспортный акселератор")</f>
        <v>- Руководитель направления дивизиона внешнеэкономического партнёрства
- Руководитель программы Экспортный акселератор</v>
      </c>
    </row>
    <row r="262" spans="1:3" ht="12.75" x14ac:dyDescent="0.2">
      <c r="A262" s="1"/>
      <c r="B262" s="8" t="str">
        <f ca="1">IFERROR(__xludf.DUMMYFUNCTION("""COMPUTED_VALUE"""),"Вита Попова")</f>
        <v>Вита Попова</v>
      </c>
      <c r="C262" s="1" t="str">
        <f ca="1">IFERROR(__xludf.DUMMYFUNCTION("""COMPUTED_VALUE"""),"- Преподаватель запатентованной техники Сухой/пилочный маникюр, комби, классика, градиент 
- Ведущий технолог премиальной корейской Nail марки полного цикла BANDI
- Спикер в бьюти-проеке InterCHARM
- Влюбила в профессию более 1000 учеников по всей России")</f>
        <v>- Преподаватель запатентованной техники Сухой/пилочный маникюр, комби, классика, градиент 
- Ведущий технолог премиальной корейской Nail марки полного цикла BANDI
- Спикер в бьюти-проеке InterCHARM
- Влюбила в профессию более 1000 учеников по всей России</v>
      </c>
    </row>
    <row r="263" spans="1:3" ht="12.75" x14ac:dyDescent="0.2">
      <c r="A263" s="1"/>
      <c r="B263" s="8" t="str">
        <f ca="1">IFERROR(__xludf.DUMMYFUNCTION("""COMPUTED_VALUE"""),"Ирина Федосеева")</f>
        <v>Ирина Федосеева</v>
      </c>
      <c r="C263" s="1" t="str">
        <f ca="1">IFERROR(__xludf.DUMMYFUNCTION("""COMPUTED_VALUE"""),"- Преподаватель в Школе Стилистов «Персона»
- Практикующий стилист
- 17-летний опыт работы в области парикмахерского искусства")</f>
        <v>- Преподаватель в Школе Стилистов «Персона»
- Практикующий стилист
- 17-летний опыт работы в области парикмахерского искусства</v>
      </c>
    </row>
    <row r="264" spans="1:3" ht="12.75" x14ac:dyDescent="0.2">
      <c r="A264" s="1"/>
      <c r="B264" s="8" t="str">
        <f ca="1">IFERROR(__xludf.DUMMYFUNCTION("""COMPUTED_VALUE"""),"Дарья Боград")</f>
        <v>Дарья Боград</v>
      </c>
      <c r="C264" s="1" t="str">
        <f ca="1">IFERROR(__xludf.DUMMYFUNCTION("""COMPUTED_VALUE"""),"- Директор моды ИД Hearst Shkulev Media 2010-2021
- Преподаватель в  школе стилистов «Персона» («Стилистика в глянце», «Специфика работы стилиста online», «Креатив», «Мужская мода», «Стиль для парикмахеров»)
- В прошлом: стилист Topshop, костюмер Cirque D"&amp;"u Soleil, костюмер Большого театра России")</f>
        <v>- Директор моды ИД Hearst Shkulev Media 2010-2021
- Преподаватель в  школе стилистов «Персона» («Стилистика в глянце», «Специфика работы стилиста online», «Креатив», «Мужская мода», «Стиль для парикмахеров»)
- В прошлом: стилист Topshop, костюмер Cirque Du Soleil, костюмер Большого театра России</v>
      </c>
    </row>
    <row r="265" spans="1:3" ht="12.75" x14ac:dyDescent="0.2">
      <c r="A265" s="1"/>
      <c r="B265" s="8" t="str">
        <f ca="1">IFERROR(__xludf.DUMMYFUNCTION("""COMPUTED_VALUE"""),"Елена Волосных")</f>
        <v>Елена Волосных</v>
      </c>
      <c r="C265" s="1" t="str">
        <f ca="1">IFERROR(__xludf.DUMMYFUNCTION("""COMPUTED_VALUE"""),"- Эксперт по маркетплейсам
- Специалист по маркетингу и продажам
- Бизнес-консультант")</f>
        <v>- Эксперт по маркетплейсам
- Специалист по маркетингу и продажам
- Бизнес-консультант</v>
      </c>
    </row>
    <row r="266" spans="1:3" ht="12.75" x14ac:dyDescent="0.2">
      <c r="A266" s="1"/>
      <c r="B266" s="8" t="str">
        <f ca="1">IFERROR(__xludf.DUMMYFUNCTION("""COMPUTED_VALUE"""),"Ирина Сысоева")</f>
        <v>Ирина Сысоева</v>
      </c>
      <c r="C266" s="1" t="str">
        <f ca="1">IFERROR(__xludf.DUMMYFUNCTION("""COMPUTED_VALUE"""),"- Эксперт по маркетплейсам
- Специалист по маркетингу и СММ
- Успешный премиум-продавец на маркетплейсах")</f>
        <v>- Эксперт по маркетплейсам
- Специалист по маркетингу и СММ
- Успешный премиум-продавец на маркетплейсах</v>
      </c>
    </row>
    <row r="267" spans="1:3" ht="12.75" x14ac:dyDescent="0.2">
      <c r="A267" s="1"/>
      <c r="B267" s="8"/>
      <c r="C267" s="1"/>
    </row>
    <row r="268" spans="1:3" ht="12.75" x14ac:dyDescent="0.2">
      <c r="A268" s="1"/>
      <c r="B268" s="8"/>
      <c r="C268" s="1"/>
    </row>
    <row r="269" spans="1:3" ht="12.75" x14ac:dyDescent="0.2">
      <c r="A269" s="1"/>
      <c r="B269" s="8"/>
      <c r="C269" s="1"/>
    </row>
    <row r="270" spans="1:3" ht="12.75" x14ac:dyDescent="0.2">
      <c r="A270" s="1"/>
      <c r="B270" s="8"/>
      <c r="C270" s="1"/>
    </row>
    <row r="271" spans="1:3" ht="12.75" x14ac:dyDescent="0.2">
      <c r="A271" s="1"/>
      <c r="B271" s="8"/>
      <c r="C271" s="1"/>
    </row>
    <row r="272" spans="1:3" ht="12.75" x14ac:dyDescent="0.2">
      <c r="A272" s="1"/>
      <c r="B272" s="8"/>
      <c r="C272" s="1"/>
    </row>
    <row r="273" spans="1:3" ht="12.75" x14ac:dyDescent="0.2">
      <c r="A273" s="1"/>
      <c r="B273" s="8"/>
      <c r="C273" s="1"/>
    </row>
    <row r="274" spans="1:3" ht="12.75" x14ac:dyDescent="0.2">
      <c r="A274" s="1"/>
      <c r="B274" s="8"/>
      <c r="C274" s="1"/>
    </row>
    <row r="275" spans="1:3" ht="12.75" x14ac:dyDescent="0.2">
      <c r="A275" s="1"/>
      <c r="B275" s="8"/>
      <c r="C275" s="1"/>
    </row>
    <row r="276" spans="1:3" ht="12.75" x14ac:dyDescent="0.2">
      <c r="A276" s="1"/>
      <c r="B276" s="8"/>
      <c r="C276" s="1"/>
    </row>
    <row r="277" spans="1:3" ht="12.75" x14ac:dyDescent="0.2">
      <c r="A277" s="1"/>
      <c r="B277" s="8"/>
      <c r="C277" s="1"/>
    </row>
    <row r="278" spans="1:3" ht="12.75" x14ac:dyDescent="0.2">
      <c r="A278" s="1"/>
      <c r="B278" s="8"/>
      <c r="C278" s="1"/>
    </row>
    <row r="279" spans="1:3" ht="12.75" x14ac:dyDescent="0.2">
      <c r="A279" s="1"/>
      <c r="B279" s="8"/>
      <c r="C279" s="1"/>
    </row>
    <row r="280" spans="1:3" ht="12.75" x14ac:dyDescent="0.2">
      <c r="A280" s="1"/>
      <c r="B280" s="8"/>
      <c r="C280" s="1"/>
    </row>
    <row r="281" spans="1:3" ht="12.75" x14ac:dyDescent="0.2">
      <c r="A281" s="1"/>
      <c r="B281" s="8"/>
      <c r="C281" s="1"/>
    </row>
    <row r="282" spans="1:3" ht="12.75" x14ac:dyDescent="0.2">
      <c r="A282" s="1"/>
      <c r="B282" s="8"/>
      <c r="C282" s="1"/>
    </row>
    <row r="283" spans="1:3" ht="12.75" x14ac:dyDescent="0.2">
      <c r="A283" s="1"/>
      <c r="B283" s="8"/>
      <c r="C283" s="1"/>
    </row>
    <row r="284" spans="1:3" ht="12.75" x14ac:dyDescent="0.2">
      <c r="A284" s="1"/>
      <c r="B284" s="8"/>
      <c r="C284" s="1"/>
    </row>
    <row r="285" spans="1:3" ht="12.75" x14ac:dyDescent="0.2">
      <c r="A285" s="1"/>
      <c r="B285" s="8"/>
      <c r="C285" s="1"/>
    </row>
    <row r="286" spans="1:3" ht="12.75" x14ac:dyDescent="0.2">
      <c r="A286" s="1"/>
      <c r="B286" s="8"/>
      <c r="C286" s="1"/>
    </row>
    <row r="287" spans="1:3" ht="12.75" x14ac:dyDescent="0.2">
      <c r="A287" s="1"/>
      <c r="B287" s="8"/>
      <c r="C287" s="1"/>
    </row>
    <row r="288" spans="1:3" ht="12.75" x14ac:dyDescent="0.2">
      <c r="A288" s="1"/>
      <c r="B288" s="8"/>
      <c r="C288" s="1"/>
    </row>
    <row r="289" spans="1:3" ht="12.75" x14ac:dyDescent="0.2">
      <c r="A289" s="1"/>
      <c r="B289" s="8"/>
      <c r="C289" s="1"/>
    </row>
    <row r="290" spans="1:3" ht="12.75" x14ac:dyDescent="0.2">
      <c r="A290" s="1"/>
      <c r="B290" s="8"/>
      <c r="C290" s="1"/>
    </row>
    <row r="291" spans="1:3" ht="12.75" x14ac:dyDescent="0.2">
      <c r="A291" s="1"/>
      <c r="B291" s="8"/>
      <c r="C291" s="1"/>
    </row>
    <row r="292" spans="1:3" ht="12.75" x14ac:dyDescent="0.2">
      <c r="A292" s="1"/>
      <c r="B292" s="8"/>
      <c r="C292" s="1"/>
    </row>
    <row r="293" spans="1:3" ht="12.75" x14ac:dyDescent="0.2">
      <c r="A293" s="1"/>
      <c r="B293" s="8"/>
      <c r="C293" s="1"/>
    </row>
    <row r="294" spans="1:3" ht="12.75" x14ac:dyDescent="0.2">
      <c r="A294" s="1"/>
      <c r="B294" s="8"/>
      <c r="C294" s="1"/>
    </row>
    <row r="295" spans="1:3" ht="12.75" x14ac:dyDescent="0.2">
      <c r="A295" s="1"/>
      <c r="B295" s="8"/>
      <c r="C295" s="1"/>
    </row>
    <row r="296" spans="1:3" ht="12.75" x14ac:dyDescent="0.2">
      <c r="A296" s="1"/>
      <c r="B296" s="8"/>
      <c r="C296" s="1"/>
    </row>
    <row r="297" spans="1:3" ht="12.75" x14ac:dyDescent="0.2">
      <c r="A297" s="1"/>
      <c r="B297" s="8"/>
      <c r="C297" s="1"/>
    </row>
    <row r="298" spans="1:3" ht="12.75" x14ac:dyDescent="0.2">
      <c r="A298" s="1"/>
      <c r="B298" s="8"/>
      <c r="C298" s="1"/>
    </row>
    <row r="299" spans="1:3" ht="12.75" x14ac:dyDescent="0.2">
      <c r="A299" s="1"/>
      <c r="B299" s="8"/>
      <c r="C299" s="1"/>
    </row>
    <row r="300" spans="1:3" ht="12.75" x14ac:dyDescent="0.2">
      <c r="A300" s="1"/>
      <c r="B300" s="8"/>
      <c r="C300" s="1"/>
    </row>
    <row r="301" spans="1:3" ht="12.75" x14ac:dyDescent="0.2">
      <c r="A301" s="1"/>
      <c r="B301" s="8"/>
      <c r="C301" s="1"/>
    </row>
    <row r="302" spans="1:3" ht="12.75" x14ac:dyDescent="0.2">
      <c r="A302" s="1"/>
      <c r="B302" s="8"/>
      <c r="C302" s="1"/>
    </row>
    <row r="303" spans="1:3" ht="12.75" x14ac:dyDescent="0.2">
      <c r="A303" s="1"/>
      <c r="B303" s="8"/>
      <c r="C303" s="1"/>
    </row>
    <row r="304" spans="1:3" ht="12.75" x14ac:dyDescent="0.2">
      <c r="A304" s="1"/>
      <c r="B304" s="8"/>
      <c r="C304" s="1"/>
    </row>
    <row r="305" spans="1:3" ht="12.75" x14ac:dyDescent="0.2">
      <c r="A305" s="1"/>
      <c r="B305" s="8"/>
      <c r="C305" s="1"/>
    </row>
    <row r="306" spans="1:3" ht="12.75" x14ac:dyDescent="0.2">
      <c r="A306" s="1"/>
      <c r="B306" s="8"/>
      <c r="C306" s="1"/>
    </row>
    <row r="307" spans="1:3" ht="12.75" x14ac:dyDescent="0.2">
      <c r="A307" s="1"/>
      <c r="B307" s="8"/>
      <c r="C307" s="1"/>
    </row>
    <row r="308" spans="1:3" ht="12.75" x14ac:dyDescent="0.2">
      <c r="A308" s="1"/>
      <c r="B308" s="8"/>
      <c r="C308" s="1"/>
    </row>
    <row r="309" spans="1:3" ht="12.75" x14ac:dyDescent="0.2">
      <c r="A309" s="1"/>
      <c r="B309" s="8"/>
      <c r="C309" s="1"/>
    </row>
    <row r="310" spans="1:3" ht="12.75" x14ac:dyDescent="0.2">
      <c r="A310" s="1"/>
      <c r="B310" s="8"/>
      <c r="C310" s="1"/>
    </row>
    <row r="311" spans="1:3" ht="12.75" x14ac:dyDescent="0.2">
      <c r="A311" s="1"/>
      <c r="B311" s="8"/>
      <c r="C311" s="1"/>
    </row>
    <row r="312" spans="1:3" ht="12.75" x14ac:dyDescent="0.2">
      <c r="A312" s="1"/>
      <c r="B312" s="8"/>
      <c r="C312" s="1"/>
    </row>
    <row r="313" spans="1:3" ht="12.75" x14ac:dyDescent="0.2">
      <c r="A313" s="1"/>
      <c r="B313" s="8"/>
      <c r="C313" s="1"/>
    </row>
    <row r="314" spans="1:3" ht="12.75" x14ac:dyDescent="0.2">
      <c r="A314" s="1"/>
      <c r="B314" s="8"/>
      <c r="C314" s="1"/>
    </row>
    <row r="315" spans="1:3" ht="12.75" x14ac:dyDescent="0.2">
      <c r="A315" s="1"/>
      <c r="B315" s="8"/>
      <c r="C315" s="1"/>
    </row>
    <row r="316" spans="1:3" ht="12.75" x14ac:dyDescent="0.2">
      <c r="A316" s="1"/>
      <c r="B316" s="8"/>
      <c r="C316" s="1"/>
    </row>
    <row r="317" spans="1:3" ht="12.75" x14ac:dyDescent="0.2">
      <c r="A317" s="1"/>
      <c r="B317" s="8"/>
      <c r="C317" s="1"/>
    </row>
    <row r="318" spans="1:3" ht="12.75" x14ac:dyDescent="0.2">
      <c r="A318" s="1"/>
      <c r="B318" s="8"/>
      <c r="C318" s="1"/>
    </row>
    <row r="319" spans="1:3" ht="12.75" x14ac:dyDescent="0.2">
      <c r="A319" s="1"/>
      <c r="B319" s="8"/>
      <c r="C319" s="1"/>
    </row>
    <row r="320" spans="1:3" ht="12.75" x14ac:dyDescent="0.2">
      <c r="A320" s="1"/>
      <c r="B320" s="8"/>
      <c r="C320" s="1"/>
    </row>
    <row r="321" spans="1:3" ht="12.75" x14ac:dyDescent="0.2">
      <c r="A321" s="1"/>
      <c r="B321" s="8"/>
      <c r="C321" s="1"/>
    </row>
    <row r="322" spans="1:3" ht="12.75" x14ac:dyDescent="0.2">
      <c r="A322" s="1"/>
      <c r="B322" s="8"/>
      <c r="C322" s="1"/>
    </row>
    <row r="323" spans="1:3" ht="12.75" x14ac:dyDescent="0.2">
      <c r="A323" s="1"/>
      <c r="B323" s="8"/>
      <c r="C323" s="1"/>
    </row>
    <row r="324" spans="1:3" ht="12.75" x14ac:dyDescent="0.2">
      <c r="A324" s="1"/>
      <c r="B324" s="8" t="str">
        <f ca="1">IFERROR(__xludf.DUMMYFUNCTION("""COMPUTED_VALUE"""),"Алина Гончаренко
Елена Волосных
Ирина Сысоева
Ярослав Фешин")</f>
        <v>Алина Гончаренко
Елена Волосных
Ирина Сысоева
Ярослав Фешин</v>
      </c>
      <c r="C324" s="1" t="str">
        <f ca="1">IFERROR(__xludf.DUMMYFUNCTION("""COMPUTED_VALUE"""),"Алина Гончаренко: Основатель проекта по продвижению товаров на маркетплейсах для handmade производителей «BEZGRANIZ»
Елена Волосных: Эксперт по маркетплейсам, специалист по маркетингу и продажам, бизнес-консультант
Ирина Сысоева: Эксперт по маркетплейсам,"&amp;" специалист по маркетингу и СММ, успешный премиум-продавец на маркетплейсах
Ярослав Фешин: Опыт работы в электронной коммерции более 3 лет в крупнейшей международной компании. Владелец нескольких брендов")</f>
        <v>Алина Гончаренко: Основатель проекта по продвижению товаров на маркетплейсах для handmade производителей «BEZGRANIZ»
Елена Волосных: Эксперт по маркетплейсам, специалист по маркетингу и продажам, бизнес-консультант
Ирина Сысоева: Эксперт по маркетплейсам, специалист по маркетингу и СММ, успешный премиум-продавец на маркетплейсах
Ярослав Фешин: Опыт работы в электронной коммерции более 3 лет в крупнейшей международной компании. Владелец нескольких брендов</v>
      </c>
    </row>
    <row r="325" spans="1:3" ht="12.75" x14ac:dyDescent="0.2">
      <c r="A325" s="1"/>
      <c r="B325" s="8" t="str">
        <f ca="1">IFERROR(__xludf.DUMMYFUNCTION("""COMPUTED_VALUE"""),"Мария Галицкая
Яна Юзипович")</f>
        <v>Мария Галицкая
Яна Юзипович</v>
      </c>
      <c r="C325" s="1" t="str">
        <f ca="1">IFERROR(__xludf.DUMMYFUNCTION("""COMPUTED_VALUE"""),"Мария Галицкая:
-Проектный специалист, имеет более 20 кейсов с общей капитализацией проектов более 170 млн руб.
Яна Юзипович:
- Продакт маркетинг менеджер CopyMonkey")</f>
        <v>Мария Галицкая:
-Проектный специалист, имеет более 20 кейсов с общей капитализацией проектов более 170 млн руб.
Яна Юзипович:
- Продакт маркетинг менеджер CopyMonkey</v>
      </c>
    </row>
    <row r="326" spans="1:3" ht="12.75" x14ac:dyDescent="0.2">
      <c r="A326" s="1"/>
      <c r="B326" s="8" t="str">
        <f ca="1">IFERROR(__xludf.DUMMYFUNCTION("""COMPUTED_VALUE"""),"Алексей Родин
Даниил Ханин")</f>
        <v>Алексей Родин
Даниил Ханин</v>
      </c>
      <c r="C326" s="1" t="str">
        <f ca="1">IFERROR(__xludf.DUMMYFUNCTION("""COMPUTED_VALUE"""),"Алексей Родин: Основатель Агентства семейных финансов «InvestArt advisors» 
Даниил Ханин: предприниматель и основатель CEO компании d2decisions")</f>
        <v>Алексей Родин: Основатель Агентства семейных финансов «InvestArt advisors» 
Даниил Ханин: предприниматель и основатель CEO компании d2decisions</v>
      </c>
    </row>
    <row r="327" spans="1:3" ht="12.75" x14ac:dyDescent="0.2">
      <c r="A327" s="1"/>
      <c r="B327" s="8" t="str">
        <f ca="1">IFERROR(__xludf.DUMMYFUNCTION("""COMPUTED_VALUE"""),"Алена Енова
Геннадий Шаталов
Алексей Войтов")</f>
        <v>Алена Енова
Геннадий Шаталов
Алексей Войтов</v>
      </c>
      <c r="C327" s="1" t="str">
        <f ca="1">IFERROR(__xludf.DUMMYFUNCTION("""COMPUTED_VALUE"""),"Алена Енова: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Геннадий Шаталов: Председатель Правления ФРОС Regi"&amp;"on PR, член Общественного совета при Федеральном агентстве по туризму, основатель Национальной премии в области событийного туризма Russian Event Awards
Алексей Войтов: Владелец франшизы суши-баров Kapibara, франчайзи сети кофеен Coffee Like")</f>
        <v>Алена Енова: Владелец федеральной управляющей компании «HotelKit», облачной системы «Hotelinstinct», бухгалтерии «Акцепт» и ТАЙГА House (ТОП-100 мира), основатель и владелец «Школы отельеров Алены Еновой»
Геннадий Шаталов: Председатель Правления ФРОС Region PR, член Общественного совета при Федеральном агентстве по туризму, основатель Национальной премии в области событийного туризма Russian Event Awards
Алексей Войтов: Владелец франшизы суши-баров Kapibara, франчайзи сети кофеен Coffee Like</v>
      </c>
    </row>
    <row r="328" spans="1:3" ht="12.75" x14ac:dyDescent="0.2">
      <c r="A328" s="1"/>
      <c r="B328" s="8" t="str">
        <f ca="1">IFERROR(__xludf.DUMMYFUNCTION("""COMPUTED_VALUE"""),"Алена Енова
Дарина Дегавцова
Наиля Чурина")</f>
        <v>Алена Енова
Дарина Дегавцова
Наиля Чурина</v>
      </c>
      <c r="C328" s="1" t="str">
        <f ca="1">IFERROR(__xludf.DUMMYFUNCTION("""COMPUTED_VALUE"""),"Алена Енова:
Владелец федеральной управляющей компании «HotelKit», облачной системы «Hotelinstinct», бухгалтерии «Акцепт» и ТАЙГА House (ТОП-100 мира)
Дарина Дегавцова:
Победитель Всероссийского конкурса «Молодой предприниматель России»
Наиля Чурина:
Созд"&amp;"атель первого в Instagram бизнес-блога о госзаказе и цифровой экономике")</f>
        <v>Алена Енова:
Владелец федеральной управляющей компании «HotelKit», облачной системы «Hotelinstinct», бухгалтерии «Акцепт» и ТАЙГА House (ТОП-100 мира)
Дарина Дегавцова:
Победитель Всероссийского конкурса «Молодой предприниматель России»
Наиля Чурина:
Создатель первого в Instagram бизнес-блога о госзаказе и цифровой экономике</v>
      </c>
    </row>
    <row r="329" spans="1:3" ht="12.75" x14ac:dyDescent="0.2">
      <c r="A329" s="1"/>
      <c r="B329" s="8" t="str">
        <f ca="1">IFERROR(__xludf.DUMMYFUNCTION("""COMPUTED_VALUE"""),"Алина Гончаренко
Николай Смерницкий
Ярослав Фешин")</f>
        <v>Алина Гончаренко
Николай Смерницкий
Ярослав Фешин</v>
      </c>
      <c r="C329" s="1" t="str">
        <f ca="1">IFERROR(__xludf.DUMMYFUNCTION("""COMPUTED_VALUE"""),"Алина Гончаренко: Основатель проекта по продвижению товаров на маркетплейсах для handmade производителей «BEZGRANIZ»
Николай Смерницкий: Основатель и владелец маркетингового агентства Smenik-Agency.ru и группы компаний интернет-магазинов отделки
Ярослав Ф"&amp;"ешин: Опыт работы в электронной коммерции более 3 лет в крупнейшей международной компании. Владелец нескольких брендов")</f>
        <v>Алина Гончаренко: Основатель проекта по продвижению товаров на маркетплейсах для handmade производителей «BEZGRANIZ»
Николай Смерницкий: Основатель и владелец маркетингового агентства Smenik-Agency.ru и группы компаний интернет-магазинов отделки
Ярослав Фешин: Опыт работы в электронной коммерции более 3 лет в крупнейшей международной компании. Владелец нескольких брендов</v>
      </c>
    </row>
    <row r="330" spans="1:3" ht="12.75" x14ac:dyDescent="0.2">
      <c r="A330" s="1"/>
      <c r="B330" s="8" t="str">
        <f ca="1">IFERROR(__xludf.DUMMYFUNCTION("""COMPUTED_VALUE"""),"Алина Гончаренко
Ярослав Фешин")</f>
        <v>Алина Гончаренко
Ярослав Фешин</v>
      </c>
      <c r="C330" s="1" t="str">
        <f ca="1">IFERROR(__xludf.DUMMYFUNCTION("""COMPUTED_VALUE"""),"Алина Гончаренко: Основатель проекта по продвижению товаров на маркетплейсах для handmade производителей «BEZGRANIZ»
Ярослав Фешин: Опыт работы в электронной коммерции более 3 лет в крупнейшей международной компании. Владелец нескольких брендов")</f>
        <v>Алина Гончаренко: Основатель проекта по продвижению товаров на маркетплейсах для handmade производителей «BEZGRANIZ»
Ярослав Фешин: Опыт работы в электронной коммерции более 3 лет в крупнейшей международной компании. Владелец нескольких брендов</v>
      </c>
    </row>
    <row r="331" spans="1:3" ht="12.75" x14ac:dyDescent="0.2">
      <c r="A331" s="1"/>
      <c r="B331" s="8" t="str">
        <f ca="1">IFERROR(__xludf.DUMMYFUNCTION("""COMPUTED_VALUE"""),"Трубицын Вадим
Гартман Марина
Позняков Иван
Познякова Людмила
Вострикова Анна")</f>
        <v>Трубицын Вадим
Гартман Марина
Позняков Иван
Познякова Людмила
Вострикова Анна</v>
      </c>
      <c r="C331" s="1"/>
    </row>
    <row r="332" spans="1:3" ht="12.75" x14ac:dyDescent="0.2">
      <c r="A332" s="1"/>
      <c r="B332" s="8" t="str">
        <f ca="1">IFERROR(__xludf.DUMMYFUNCTION("""COMPUTED_VALUE"""),"Соколова Анна
Трухманова Светлана
")</f>
        <v xml:space="preserve">Соколова Анна
Трухманова Светлана
</v>
      </c>
      <c r="C332" s="1" t="str">
        <f ca="1">IFERROR(__xludf.DUMMYFUNCTION("""COMPUTED_VALUE"""),"Анна Соколова
- Управляющий партнер Бизнес-школа Персона
- Старший преподаватель по финансовому менеджменту
- Совладелец имидж-лаборатории Персона
Светлана Трухманова
- Бухгалтер в управляющей компании Персона")</f>
        <v>Анна Соколова
- Управляющий партнер Бизнес-школа Персона
- Старший преподаватель по финансовому менеджменту
- Совладелец имидж-лаборатории Персона
Светлана Трухманова
- Бухгалтер в управляющей компании Персона</v>
      </c>
    </row>
    <row r="333" spans="1:3" ht="12.75" x14ac:dyDescent="0.2">
      <c r="A333" s="1"/>
      <c r="B333" s="8" t="str">
        <f ca="1">IFERROR(__xludf.DUMMYFUNCTION("""COMPUTED_VALUE"""),"Стоянов Игорь
Трухманов Кирилл")</f>
        <v>Стоянов Игорь
Трухманов Кирилл</v>
      </c>
      <c r="C333" s="1" t="str">
        <f ca="1">IFERROR(__xludf.DUMMYFUNCTION("""COMPUTED_VALUE"""),"Стоянов Игорь:
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
Трухманов Кирилл:
- Стилист Персона Artp"&amp;"lay
- Ведущий бизнес-тренер, специалист по работе с мотивацией и бизнесс-процессами в салоне
- Опыт собственного салона под брендом Персона в Калиниграде")</f>
        <v>Стоянов Игорь:
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
Трухманов Кирилл:
- Стилист Персона Artplay
- Ведущий бизнес-тренер, специалист по работе с мотивацией и бизнесс-процессами в салоне
- Опыт собственного салона под брендом Персона в Калиниграде</v>
      </c>
    </row>
    <row r="334" spans="1:3" ht="12.75" x14ac:dyDescent="0.2">
      <c r="A334" s="1"/>
      <c r="B334" s="8" t="str">
        <f ca="1">IFERROR(__xludf.DUMMYFUNCTION("""COMPUTED_VALUE"""),"Стоянов Игорь
Трухманов Кирилл")</f>
        <v>Стоянов Игорь
Трухманов Кирилл</v>
      </c>
      <c r="C334" s="1" t="str">
        <f ca="1">IFERROR(__xludf.DUMMYFUNCTION("""COMPUTED_VALUE"""),"Стоянов Игорь:
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
Трухманов Кирилл:
- Стилист Персона Artp"&amp;"lay
- Ведущий бизнес-тренер, специалист по работе с мотивацией и бизнесс-процессами в салоне
- Опыт собственного салона под брендом Персона в Калиниграде")</f>
        <v>Стоянов Игорь:
- Основатель и президент сети Персона
- Гуру бьюти-бизнеса нашей страны
- Бизнесмен-практик, 26 летний опыт создания и продвижения салонов красоты
- Опыт открытия более 100 салонов в России и в мире
Трухманов Кирилл:
- Стилист Персона Artplay
- Ведущий бизнес-тренер, специалист по работе с мотивацией и бизнесс-процессами в салоне
- Опыт собственного салона под брендом Персона в Калиниграде</v>
      </c>
    </row>
    <row r="335" spans="1:3" ht="12.75" x14ac:dyDescent="0.2">
      <c r="A335" s="1"/>
      <c r="B335" s="8" t="str">
        <f ca="1">IFERROR(__xludf.DUMMYFUNCTION("""COMPUTED_VALUE"""),"Такунцев Михаил
Григорьева Татьяна
")</f>
        <v xml:space="preserve">Такунцев Михаил
Григорьева Татьяна
</v>
      </c>
      <c r="C335" s="1" t="str">
        <f ca="1">IFERROR(__xludf.DUMMYFUNCTION("""COMPUTED_VALUE"""),"- Председатель городской федерации по легкой атлетике
- Мастер спорта России по легкой атлетике
")</f>
        <v xml:space="preserve">- Председатель городской федерации по легкой атлетике
- Мастер спорта России по легкой атлетике
</v>
      </c>
    </row>
    <row r="336" spans="1:3" ht="12.75" x14ac:dyDescent="0.2">
      <c r="A336" s="1"/>
      <c r="B336" s="8" t="str">
        <f ca="1">IFERROR(__xludf.DUMMYFUNCTION("""COMPUTED_VALUE"""),"Мария Галицкая
Полина Калашникова")</f>
        <v>Мария Галицкая
Полина Калашникова</v>
      </c>
      <c r="C336" s="1" t="str">
        <f ca="1">IFERROR(__xludf.DUMMYFUNCTION("""COMPUTED_VALUE"""),"Мария Галицкая: 
- Проектный специалист, имеет более 20 кейсов с общей капитализацией проектов более 170 млн руб.
Полина Калашникова: 
- Тренер-технолог по ораторскому мастерству и речевой импровизации, более 3 000 участников авторских тренингов, сертифи"&amp;"цированный спикер со стажем более 9 лет")</f>
        <v>Мария Галицкая: 
- Проектный специалист, имеет более 20 кейсов с общей капитализацией проектов более 170 млн руб.
Полина Калашникова: 
- Тренер-технолог по ораторскому мастерству и речевой импровизации, более 3 000 участников авторских тренингов, сертифицированный спикер со стажем более 9 лет</v>
      </c>
    </row>
    <row r="337" spans="1:3" ht="12.75" x14ac:dyDescent="0.2">
      <c r="A337" s="1"/>
      <c r="B337" s="8" t="str">
        <f ca="1">IFERROR(__xludf.DUMMYFUNCTION("""COMPUTED_VALUE"""),"Михаил Дашкиев
 Илья Балахнин
 Олег Иванов")</f>
        <v>Михаил Дашкиев
 Илья Балахнин
 Олег Иванов</v>
      </c>
      <c r="C337" s="1" t="str">
        <f ca="1">IFERROR(__xludf.DUMMYFUNCTION("""COMPUTED_VALUE"""),"Михаил Дашкиев: Сооснователь школы бизнеса «Бизнес Молодость»
Илья Балахнин: Управляющий партнёр агентства Paper Planes
Олег Иванов: Сооснователь и генеральный директор CryptoBazar Fund")</f>
        <v>Михаил Дашкиев: Сооснователь школы бизнеса «Бизнес Молодость»
Илья Балахнин: Управляющий партнёр агентства Paper Planes
Олег Иванов: Сооснователь и генеральный директор CryptoBazar Fund</v>
      </c>
    </row>
    <row r="338" spans="1:3" ht="12.75" x14ac:dyDescent="0.2">
      <c r="A338" s="1"/>
      <c r="B338" s="8" t="str">
        <f ca="1">IFERROR(__xludf.DUMMYFUNCTION("""COMPUTED_VALUE"""),"Трубицын Вадим
Нечитайленко Евгения
")</f>
        <v xml:space="preserve">Трубицын Вадим
Нечитайленко Евгения
</v>
      </c>
      <c r="C338" s="1" t="str">
        <f ca="1">IFERROR(__xludf.DUMMYFUNCTION("""COMPUTED_VALUE"""),"Трубицын Вадим: Владелец сети общественного питания, 10 лет на рынке
Нечитайленко Евгения: В гастрономическом PR более 10 лет
")</f>
        <v xml:space="preserve">Трубицын Вадим: Владелец сети общественного питания, 10 лет на рынке
Нечитайленко Евгения: В гастрономическом PR более 10 лет
</v>
      </c>
    </row>
    <row r="339" spans="1:3" ht="12.75" x14ac:dyDescent="0.2">
      <c r="A339" s="1"/>
      <c r="B339" s="8" t="str">
        <f ca="1">IFERROR(__xludf.DUMMYFUNCTION("""COMPUTED_VALUE"""),"Трубицын Вадим
Нечитайленко Евгения
Войтов Алексей")</f>
        <v>Трубицын Вадим
Нечитайленко Евгения
Войтов Алексей</v>
      </c>
      <c r="C339" s="1" t="str">
        <f ca="1">IFERROR(__xludf.DUMMYFUNCTION("""COMPUTED_VALUE"""),"Трубицын Вадим: Владелец сети общественного питания, 10 лет на рынке
Нечитайленко Евгения: В гастрономическом PR более 10 лет
Войтов Алексей: Владелец франшизы суши-баров Kapibara, франчайзи сети кофеен Coffee Like")</f>
        <v>Трубицын Вадим: Владелец сети общественного питания, 10 лет на рынке
Нечитайленко Евгения: В гастрономическом PR более 10 лет
Войтов Алексей: Владелец франшизы суши-баров Kapibara, франчайзи сети кофеен Coffee Like</v>
      </c>
    </row>
    <row r="340" spans="1:3" ht="12.75" x14ac:dyDescent="0.2">
      <c r="A340" s="1"/>
      <c r="B340" s="8" t="str">
        <f ca="1">IFERROR(__xludf.DUMMYFUNCTION("""COMPUTED_VALUE"""),"
Виктория Байбородова
Екатерина Морусова 
")</f>
        <v xml:space="preserve">
Виктория Байбородова
Екатерина Морусова 
</v>
      </c>
      <c r="C340" s="1" t="str">
        <f ca="1">IFERROR(__xludf.DUMMYFUNCTION("""COMPUTED_VALUE"""),"
Виктория Байбородова
National Educator of Academy Kinetics
Екатерина Морусова
Руководитель студии маникюра и педикюра MORUSOVA NAIL
")</f>
        <v xml:space="preserve">
Виктория Байбородова
National Educator of Academy Kinetics
Екатерина Морусова
Руководитель студии маникюра и педикюра MORUSOVA NAIL
</v>
      </c>
    </row>
    <row r="341" spans="1:3" ht="12.75" x14ac:dyDescent="0.2">
      <c r="A341" s="1"/>
      <c r="B341" s="8" t="str">
        <f ca="1">IFERROR(__xludf.DUMMYFUNCTION("""COMPUTED_VALUE"""),"
Сергей Пономарев
Дмитрий Ногтев")</f>
        <v xml:space="preserve">
Сергей Пономарев
Дмитрий Ногтев</v>
      </c>
      <c r="C341" s="1" t="str">
        <f ca="1">IFERROR(__xludf.DUMMYFUNCTION("""COMPUTED_VALUE"""),"
Сергей Пономарев:
Основатель и владелец социальной сети «Росимпакт», управленческий консультант, эксперт в области социального предпринимательства
Дмитрий Ногтев:
Амбассадор АО «Деловая среда»")</f>
        <v xml:space="preserve">
Сергей Пономарев:
Основатель и владелец социальной сети «Росимпакт», управленческий консультант, эксперт в области социального предпринимательства
Дмитрий Ногтев:
Амбассадор АО «Деловая среда»</v>
      </c>
    </row>
    <row r="342" spans="1:3" ht="12.75" x14ac:dyDescent="0.2">
      <c r="A342" s="1"/>
      <c r="B342" s="8" t="str">
        <f ca="1">IFERROR(__xludf.DUMMYFUNCTION("""COMPUTED_VALUE"""),"
Сергей Пономарев
Мария Галицкая
Дмитрий Ногтев")</f>
        <v xml:space="preserve">
Сергей Пономарев
Мария Галицкая
Дмитрий Ногтев</v>
      </c>
      <c r="C342" s="1" t="str">
        <f ca="1">IFERROR(__xludf.DUMMYFUNCTION("""COMPUTED_VALUE"""),"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более 20 кейсов с общей капитализацией проектов более 170 млн р"&amp;"уб.
Дмитрий Ногтев:
Амбассадор АО «Деловая среда»")</f>
        <v xml:space="preserve">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более 20 кейсов с общей капитализацией проектов более 170 млн руб.
Дмитрий Ногтев:
Амбассадор АО «Деловая среда»</v>
      </c>
    </row>
    <row r="343" spans="1:3" ht="12.75" x14ac:dyDescent="0.2">
      <c r="A343" s="1"/>
      <c r="B343" s="8" t="str">
        <f ca="1">IFERROR(__xludf.DUMMYFUNCTION("""COMPUTED_VALUE"""),"Алексей Войтов
Дарина Дегавцова
Наиля Чурина")</f>
        <v>Алексей Войтов
Дарина Дегавцова
Наиля Чурина</v>
      </c>
      <c r="C343" s="1" t="str">
        <f ca="1">IFERROR(__xludf.DUMMYFUNCTION("""COMPUTED_VALUE"""),"Алексей Войтов:
Основатель подкаста о франшизах ""Франшиза.Live""
Дарина Дегавцова:
Победитель Всероссийского конкурса «Молодой предприниматель России»
Наиля Чурина:
Создатель первого в Instagram бизнес-блога о госзаказе и цифровой экономике")</f>
        <v>Алексей Войтов:
Основатель подкаста о франшизах "Франшиза.Live"
Дарина Дегавцова:
Победитель Всероссийского конкурса «Молодой предприниматель России»
Наиля Чурина:
Создатель первого в Instagram бизнес-блога о госзаказе и цифровой экономике</v>
      </c>
    </row>
    <row r="344" spans="1:3" ht="12.75" x14ac:dyDescent="0.2">
      <c r="A344" s="1"/>
      <c r="B344" s="8" t="str">
        <f ca="1">IFERROR(__xludf.DUMMYFUNCTION("""COMPUTED_VALUE"""),"Алексей Грищенко
Елена Аношина")</f>
        <v>Алексей Грищенко
Елена Аношина</v>
      </c>
      <c r="C344" s="1" t="str">
        <f ca="1">IFERROR(__xludf.DUMMYFUNCTION("""COMPUTED_VALUE"""),"Алексей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ме"&amp;"тодологии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управ"&amp;"ления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«Дизайн-мышлени"&amp;"е»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2019")</f>
        <v>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</v>
      </c>
    </row>
    <row r="345" spans="1:3" ht="12.75" x14ac:dyDescent="0.2">
      <c r="A345" s="1"/>
      <c r="B345" s="8" t="str">
        <f ca="1">IFERROR(__xludf.DUMMYFUNCTION("""COMPUTED_VALUE"""),"Елена Аношина
Евгений Винников")</f>
        <v>Елена Аношина
Евгений Винников</v>
      </c>
      <c r="C345" s="1" t="str">
        <f ca="1">IFERROR(__xludf.DUMMYFUNCTION("""COMPUTED_VALUE"""),"Елена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пр"&amp;"еподавания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Евгений Винников:
- Основатель и художественный рук"&amp;"оводитель первого образовательного театра «Театр изменений»
- Режиссер-постановщик, драматург
- Импресарио и антрепренер (предприниматель в сфере культуры и образования)
- Профессиональный бизнес-сторителлер и сценатор
- Сторификатор")</f>
        <v>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Евгений Винников:
- Основатель и художественный руководитель первого образовательного театра «Театр изменений»
- Режиссер-постановщик, драматург
- Импресарио и антрепренер (предприниматель в сфере культуры и образования)
- Профессиональный бизнес-сторителлер и сценатор
- Сторификатор</v>
      </c>
    </row>
    <row r="346" spans="1:3" ht="12.75" x14ac:dyDescent="0.2">
      <c r="A346" s="1"/>
      <c r="B346" s="8" t="str">
        <f ca="1">IFERROR(__xludf.DUMMYFUNCTION("""COMPUTED_VALUE"""),"Алексей Грищенко")</f>
        <v>Алексей Грищенко</v>
      </c>
      <c r="C346" s="1" t="str">
        <f ca="1">IFERROR(__xludf.DUMMYFUNCTION("""COMPUTED_VALUE"""),"-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методологии дизайн-м"&amp;"ышления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путешественник")</f>
        <v>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</v>
      </c>
    </row>
    <row r="347" spans="1:3" ht="12.75" x14ac:dyDescent="0.2">
      <c r="A347" s="1"/>
      <c r="B347" s="8" t="str">
        <f ca="1">IFERROR(__xludf.DUMMYFUNCTION("""COMPUTED_VALUE"""),"Алексей Грищенко
Елена Аношина
Константин Седов")</f>
        <v>Алексей Грищенко
Елена Аношина
Константин Седов</v>
      </c>
      <c r="C347" s="1" t="str">
        <f ca="1">IFERROR(__xludf.DUMMYFUNCTION("""COMPUTED_VALUE"""),"Алексей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ме"&amp;"тодологии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управ"&amp;"ления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«Дизайн-мышлени"&amp;"е»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по игровым, актерским и театральным напра"&amp;"влениям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филь"&amp;"мов в компании «ИМПАКТ СИНЕМА Продакшн» ")</f>
        <v xml:space="preserve">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фильмов в компании «ИМПАКТ СИНЕМА Продакшн» </v>
      </c>
    </row>
    <row r="348" spans="1:3" ht="12.75" x14ac:dyDescent="0.2">
      <c r="A348" s="1"/>
      <c r="B348" s="8" t="str">
        <f ca="1">IFERROR(__xludf.DUMMYFUNCTION("""COMPUTED_VALUE"""),"Константин Седов")</f>
        <v>Константин Седов</v>
      </c>
      <c r="C348" s="1" t="str">
        <f ca="1">IFERROR(__xludf.DUMMYFUNCTION("""COMPUTED_VALUE"""),"- Тренер по больничной клоунаде, по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пац"&amp;"иентов
- Основатель, генеральный продюсер и сценарист короткометражных фильмов в компании «ИМПАКТ СИНЕМА Продакшн» ")</f>
        <v xml:space="preserve">- Тренер по больничной клоунаде, по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фильмов в компании «ИМПАКТ СИНЕМА Продакшн» </v>
      </c>
    </row>
    <row r="349" spans="1:3" ht="12.75" x14ac:dyDescent="0.2">
      <c r="A349" s="1"/>
      <c r="B349" s="8" t="str">
        <f ca="1">IFERROR(__xludf.DUMMYFUNCTION("""COMPUTED_VALUE"""),"Алексей Грищенко
Елена Аношина
Константин Седов
Роман Дусенко")</f>
        <v>Алексей Грищенко
Елена Аношина
Константин Седов
Роман Дусенко</v>
      </c>
      <c r="C349" s="1" t="str">
        <f ca="1">IFERROR(__xludf.DUMMYFUNCTION("""COMPUTED_VALUE"""),"Алексей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ме"&amp;"тодологии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управ"&amp;"ления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«Дизайн-мышлени"&amp;"е»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по игровым, актерским и театральным напра"&amp;"влениям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филь"&amp;"мов в компании «ИМПАКТ СИНЕМА Продакшн»
Роман Дусенко
- Эксперт по стратегическим сессиям, бизнес-практик, консультант и коуч
- Председатель Правления, член Совета Директоров, акционер. Руководил слияниями и поглощениями российских банков и международных"&amp;" финансовых холдингов. Посвятив 16 лет банковской системе, прошел
путь от управляющего дополнительного офиса до Председателя Правления, совладельца банка
- Провел более 150 тренингов, стратегических сессий и консалтинговых проектов, с 2015 года проводит с"&amp;"обственные обучающие программы по управлению людьми #ТолькоВперед")</f>
        <v>Алексей Грищенко:
- Член правления и заместитель генерального директора Деловой среды по образовательным проектам
- Член рабочей группы Минобрнауки по молодёжному предпринимательству
- В 2016 создал Лабораторию инноваций, которая реализовала проекты по методологии дизайн-мышления для Сбербанка, Администрации президента РФ, Минэкономразвития РФ, Минсельхоза РФ, Администрации ЯНАО, Московской биржи, компаний малого бизнеса
- Марафонец по бегу, лыжник, путешественник
Елена Аношина:
- Эксперт в области управления клиентским опытом, создания инновационных продуктов и сервисов, формирования креативных команд
- Основатель первого Сервис-дизайн агентства в России 
- Спикер Design Thinking Camp, Москва, 2018
- Имеет опыт преподавания по дисциплине «Дизайн-мышление» в программе Executive MBA в университете Синергия и сервис-дизайн эксперта в ВШГУ РАНХиГС
- Путешественник, поднялась на мачту барка Крузенштерн в августе 2019
Константин Седов
- Тренер по больничной клоунаде, по игровым, актерским и театральным направлениям
- Учредитель, директор и художественный руководитель АНО «Больничные клоуны», в команде 60 клоунов, которые ежемесячно посещают 21 клинику в России и радуют более 5 000 пациентов
- Основатель, генеральный продюсер и сценарист короткометражных фильмов в компании «ИМПАКТ СИНЕМА Продакшн»
Роман Дусенко
- Эксперт по стратегическим сессиям, бизнес-практик, консультант и коуч
- Председатель Правления, член Совета Директоров, акционер. Руководил слияниями и поглощениями российских банков и международных финансовых холдингов. Посвятив 16 лет банковской системе, прошел
путь от управляющего дополнительного офиса до Председателя Правления, совладельца банка
- Провел более 150 тренингов, стратегических сессий и консалтинговых проектов, с 2015 года проводит собственные обучающие программы по управлению людьми #ТолькоВперед</v>
      </c>
    </row>
    <row r="350" spans="1:3" ht="12.75" x14ac:dyDescent="0.2">
      <c r="A350" s="1"/>
      <c r="B350" s="8" t="str">
        <f ca="1">IFERROR(__xludf.DUMMYFUNCTION("""COMPUTED_VALUE"""),"
Татьяна Лебедева
Татьяна Бессонова
Дулма Содномова
Лариса Ежова 
Наталья Малахова")</f>
        <v xml:space="preserve">
Татьяна Лебедева
Татьяна Бессонова
Дулма Содномова
Лариса Ежова 
Наталья Малахова</v>
      </c>
      <c r="C350" s="1" t="str">
        <f ca="1">IFERROR(__xludf.DUMMYFUNCTION("""COMPUTED_VALUE"""),"Татьяна Лебедева:
Генеральный директор ООО «Корпорация событий», основатель консалтингового центра «Академия бизнеса и рекламы», стартап-наставник (более 200 бизнесов в сопровождении).
Татьяна Бессонова:
Трекер акселерационных и инкубационных программ (А"&amp;"кселератор социальных проектов, Акселерационная программа для социальных предпринимателей Астраханской области, ментор программы «Бизнес-уикенд, Москва», трекер программы «Бизнес-инкубатор, Караганда».
Дулма Содномова:
Руководитель Центра образования и б"&amp;"изнеса «Ресурс», бизнес-тренер в области лидерства, коммуникации, разработчик, автор, модератор стратегических и проектных сессий
Лариса Ежова:
Автор и ведущая тренингов, действующий предприниматель
Наталья Малахова:
Сертифицированный тренер Федеральной"&amp;" акселерационной программы по социальному предпринимательству, автор семинаров по социальному предпринимательству, социальному франчайзингу, финансовому менеджменту и стратегическому планированию, консультант, действующий предприниматель.")</f>
        <v>Татьяна Лебедева:
Генеральный директор ООО «Корпорация событий», основатель консалтингового центра «Академия бизнеса и рекламы», стартап-наставник (более 200 бизнесов в сопровождении).
Татьяна Бессонова:
Трекер акселерационных и инкубационных программ (Акселератор социальных проектов, Акселерационная программа для социальных предпринимателей Астраханской области, ментор программы «Бизнес-уикенд, Москва», трекер программы «Бизнес-инкубатор, Караганда».
Дулма Содномова:
Руководитель Центра образования и бизнеса «Ресурс», бизнес-тренер в области лидерства, коммуникации, разработчик, автор, модератор стратегических и проектных сессий
Лариса Ежова:
Автор и ведущая тренингов, действующий предприниматель
Наталья Малахова:
Сертифицированный тренер Федеральной акселерационной программы по социальному предпринимательству, автор семинаров по социальному предпринимательству, социальному франчайзингу, финансовому менеджменту и стратегическому планированию, консультант, действующий предприниматель.</v>
      </c>
    </row>
    <row r="351" spans="1:3" ht="12.75" x14ac:dyDescent="0.2">
      <c r="A351" s="1"/>
      <c r="B351" s="8" t="str">
        <f ca="1">IFERROR(__xludf.DUMMYFUNCTION("""COMPUTED_VALUE"""),"Дулма Содномова
Наталья Марченкова")</f>
        <v>Дулма Содномова
Наталья Марченкова</v>
      </c>
      <c r="C351" s="1" t="str">
        <f ca="1">IFERROR(__xludf.DUMMYFUNCTION("""COMPUTED_VALUE"""),"Дулма Содномова:
Руководитель Центра образования и бизнеса «Ресурс», бизнес-тренер в области лидерства, коммуникации, разработчик, автор, модератор стратегических и проектных сессий.
Наталья Марченкова:
Сертифицированный тренер Федеральной акселерационно"&amp;"й программы по социальному предпринимательству, автор семинаров по социальному предпринимательству, социальному франчайзингу, финансовому менеджменту и стратегическому планированию, консультант, действующий предприниматель.")</f>
        <v>Дулма Содномова:
Руководитель Центра образования и бизнеса «Ресурс», бизнес-тренер в области лидерства, коммуникации, разработчик, автор, модератор стратегических и проектных сессий.
Наталья Марченкова:
Сертифицированный тренер Федеральной акселерационной программы по социальному предпринимательству, автор семинаров по социальному предпринимательству, социальному франчайзингу, финансовому менеджменту и стратегическому планированию, консультант, действующий предприниматель.</v>
      </c>
    </row>
    <row r="352" spans="1:3" ht="12.75" x14ac:dyDescent="0.2">
      <c r="A352" s="1"/>
      <c r="B352" s="8" t="str">
        <f ca="1">IFERROR(__xludf.DUMMYFUNCTION("""COMPUTED_VALUE"""),"Лариса Ежова 
Татьяна Бессонова")</f>
        <v>Лариса Ежова 
Татьяна Бессонова</v>
      </c>
      <c r="C352" s="1" t="str">
        <f ca="1">IFERROR(__xludf.DUMMYFUNCTION("""COMPUTED_VALUE"""),"Лариса Ежова:
Автор и ведущая тренингов, действующий предприниматель.
Татьяна Бессонова:
Трекер акселерационных и инкубационных программ (Акселератор социальных проектов, Акселерационная программа для социальных предпринимателей Астраханской области, мен"&amp;"тор программы «Бизнес-уикенд, Москва», трекер программы «Бизнес-инкубатор, Караганда».")</f>
        <v>Лариса Ежова:
Автор и ведущая тренингов, действующий предприниматель.
Татьяна Бессонова:
Трекер акселерационных и инкубационных программ (Акселератор социальных проектов, Акселерационная программа для социальных предпринимателей Астраханской области, ментор программы «Бизнес-уикенд, Москва», трекер программы «Бизнес-инкубатор, Караганда».</v>
      </c>
    </row>
    <row r="353" spans="1:3" ht="12.75" x14ac:dyDescent="0.2">
      <c r="A353" s="1"/>
      <c r="B353" s="8" t="str">
        <f ca="1">IFERROR(__xludf.DUMMYFUNCTION("""COMPUTED_VALUE"""),"Ведущая: 
Татьяна Лебедева
Модераторы:
Вадим Трубицын
Наталья Шипилова")</f>
        <v>Ведущая: 
Татьяна Лебедева
Модераторы:
Вадим Трубицын
Наталья Шипилова</v>
      </c>
      <c r="C353" s="1" t="str">
        <f ca="1">IFERROR(__xludf.DUMMYFUNCTION("""COMPUTED_VALUE"""),"Татьяна Лебедева:
- Открыто 5 своих бизнесов с разных сферах: образовательный, ивент, бизнес по франшизе, консалтинг
- Стартап-наставник (более 200 бизнесов в сопровождении)
Вадим Трубицын:
- Эксперт в области дизайн-мышления, сервис-дизайна, НЛП-Практик"&amp;", мастер, сертифицированный тренер Синтон-программы (УЦ «Синтон», Москва)
Наталья Шипилова:
- Применение дизайн-мышления и сервис-дизайна в создании и продвижении продукта/сервиса в России и Европе (KPMG, Yandex, Mars, HBC Coca-Cola и пр.)")</f>
        <v>Татьяна Лебедева:
- Открыто 5 своих бизнесов с разных сферах: образовательный, ивент, бизнес по франшизе, консалтинг
- Стартап-наставник (более 200 бизнесов в сопровождении)
Вадим Трубицын:
- Эксперт в области дизайн-мышления, сервис-дизайна, НЛП-Практик, мастер, сертифицированный тренер Синтон-программы (УЦ «Синтон», Москва)
Наталья Шипилова:
- Применение дизайн-мышления и сервис-дизайна в создании и продвижении продукта/сервиса в России и Европе (KPMG, Yandex, Mars, HBC Coca-Cola и пр.)</v>
      </c>
    </row>
    <row r="354" spans="1:3" ht="12.75" x14ac:dyDescent="0.2">
      <c r="A354" s="1"/>
      <c r="B354" s="8"/>
      <c r="C354" s="1"/>
    </row>
    <row r="355" spans="1:3" ht="12.75" x14ac:dyDescent="0.2">
      <c r="A355" s="1"/>
      <c r="B355" s="8"/>
      <c r="C355" s="1"/>
    </row>
    <row r="356" spans="1:3" ht="12.75" x14ac:dyDescent="0.2">
      <c r="A356" s="1"/>
      <c r="B356" s="8"/>
      <c r="C356" s="1"/>
    </row>
    <row r="357" spans="1:3" ht="12.75" x14ac:dyDescent="0.2">
      <c r="A357" s="1"/>
      <c r="B357" s="8"/>
      <c r="C357" s="1"/>
    </row>
    <row r="358" spans="1:3" ht="12.75" x14ac:dyDescent="0.2">
      <c r="A358" s="1"/>
      <c r="B358" s="8"/>
      <c r="C358" s="1"/>
    </row>
    <row r="359" spans="1:3" ht="12.75" x14ac:dyDescent="0.2">
      <c r="A359" s="1"/>
      <c r="B359" s="8"/>
      <c r="C359" s="1"/>
    </row>
    <row r="360" spans="1:3" ht="12.75" x14ac:dyDescent="0.2">
      <c r="A360" s="1"/>
      <c r="B360" s="8"/>
      <c r="C360" s="1"/>
    </row>
    <row r="361" spans="1:3" ht="12.75" x14ac:dyDescent="0.2">
      <c r="A361" s="1"/>
      <c r="B361" s="8"/>
      <c r="C361" s="1"/>
    </row>
    <row r="362" spans="1:3" ht="12.75" x14ac:dyDescent="0.2">
      <c r="A362" s="1"/>
      <c r="B362" s="8"/>
      <c r="C362" s="1"/>
    </row>
    <row r="363" spans="1:3" ht="12.75" x14ac:dyDescent="0.2">
      <c r="A363" s="1"/>
      <c r="B363" s="8"/>
      <c r="C363" s="1"/>
    </row>
    <row r="364" spans="1:3" ht="12.75" x14ac:dyDescent="0.2">
      <c r="A364" s="1"/>
      <c r="B364" s="8"/>
      <c r="C364" s="1"/>
    </row>
    <row r="365" spans="1:3" ht="12.75" x14ac:dyDescent="0.2">
      <c r="A365" s="1"/>
      <c r="B365" s="8"/>
      <c r="C365" s="1"/>
    </row>
    <row r="366" spans="1:3" ht="12.75" x14ac:dyDescent="0.2">
      <c r="A366" s="1"/>
      <c r="B366" s="8"/>
      <c r="C366" s="1"/>
    </row>
    <row r="367" spans="1:3" ht="12.75" x14ac:dyDescent="0.2">
      <c r="A367" s="1"/>
      <c r="B367" s="8"/>
      <c r="C367" s="1"/>
    </row>
    <row r="368" spans="1:3" ht="12.75" x14ac:dyDescent="0.2">
      <c r="A368" s="1"/>
      <c r="B368" s="8"/>
      <c r="C368" s="1"/>
    </row>
    <row r="369" spans="1:3" ht="12.75" x14ac:dyDescent="0.2">
      <c r="A369" s="1"/>
      <c r="B369" s="8"/>
      <c r="C369" s="1"/>
    </row>
    <row r="370" spans="1:3" ht="12.75" x14ac:dyDescent="0.2">
      <c r="A370" s="1"/>
      <c r="B370" s="8"/>
      <c r="C370" s="1"/>
    </row>
    <row r="371" spans="1:3" ht="12.75" x14ac:dyDescent="0.2">
      <c r="A371" s="1"/>
      <c r="B371" s="8"/>
      <c r="C371" s="1"/>
    </row>
    <row r="372" spans="1:3" ht="12.75" x14ac:dyDescent="0.2">
      <c r="A372" s="1"/>
      <c r="B372" s="8"/>
      <c r="C372" s="1"/>
    </row>
    <row r="373" spans="1:3" ht="12.75" x14ac:dyDescent="0.2">
      <c r="A373" s="1"/>
      <c r="B373" s="8"/>
      <c r="C373" s="1"/>
    </row>
    <row r="374" spans="1:3" ht="12.75" x14ac:dyDescent="0.2">
      <c r="A374" s="1"/>
      <c r="B374" s="8"/>
      <c r="C374" s="1"/>
    </row>
    <row r="375" spans="1:3" ht="12.75" x14ac:dyDescent="0.2">
      <c r="A375" s="1"/>
      <c r="B375" s="8"/>
      <c r="C375" s="1"/>
    </row>
    <row r="376" spans="1:3" ht="12.75" x14ac:dyDescent="0.2">
      <c r="A376" s="1"/>
      <c r="B376" s="8"/>
      <c r="C376" s="1"/>
    </row>
    <row r="377" spans="1:3" ht="12.75" x14ac:dyDescent="0.2">
      <c r="A377" s="1"/>
      <c r="B377" s="8"/>
      <c r="C377" s="1"/>
    </row>
    <row r="378" spans="1:3" ht="12.75" x14ac:dyDescent="0.2">
      <c r="A378" s="1"/>
      <c r="B378" s="8"/>
      <c r="C378" s="1"/>
    </row>
    <row r="379" spans="1:3" ht="12.75" x14ac:dyDescent="0.2">
      <c r="A379" s="1"/>
      <c r="B379" s="8"/>
      <c r="C379" s="1"/>
    </row>
    <row r="380" spans="1:3" ht="12.75" x14ac:dyDescent="0.2">
      <c r="A380" s="1"/>
      <c r="B380" s="8"/>
      <c r="C380" s="1"/>
    </row>
    <row r="381" spans="1:3" ht="12.75" x14ac:dyDescent="0.2">
      <c r="A381" s="1"/>
      <c r="B381" s="8"/>
      <c r="C381" s="1"/>
    </row>
    <row r="382" spans="1:3" ht="12.75" x14ac:dyDescent="0.2">
      <c r="A382" s="1"/>
      <c r="B382" s="8"/>
      <c r="C382" s="1"/>
    </row>
    <row r="383" spans="1:3" ht="12.75" x14ac:dyDescent="0.2">
      <c r="A383" s="1"/>
      <c r="B383" s="8"/>
      <c r="C383" s="1"/>
    </row>
    <row r="384" spans="1:3" ht="12.75" x14ac:dyDescent="0.2">
      <c r="A384" s="1"/>
      <c r="B384" s="8"/>
      <c r="C384" s="1"/>
    </row>
    <row r="385" spans="1:3" ht="12.75" x14ac:dyDescent="0.2">
      <c r="A385" s="1"/>
      <c r="B385" s="8"/>
      <c r="C385" s="1"/>
    </row>
    <row r="386" spans="1:3" ht="12.75" x14ac:dyDescent="0.2">
      <c r="A386" s="1"/>
      <c r="B386" s="8"/>
      <c r="C386" s="1"/>
    </row>
    <row r="387" spans="1:3" ht="12.75" x14ac:dyDescent="0.2">
      <c r="A387" s="1"/>
      <c r="B387" s="8"/>
      <c r="C387" s="1"/>
    </row>
    <row r="388" spans="1:3" ht="12.75" x14ac:dyDescent="0.2">
      <c r="A388" s="1"/>
      <c r="B388" s="8"/>
      <c r="C388" s="1"/>
    </row>
    <row r="389" spans="1:3" ht="12.75" x14ac:dyDescent="0.2">
      <c r="A389" s="1"/>
      <c r="B389" s="8"/>
      <c r="C389" s="1"/>
    </row>
    <row r="390" spans="1:3" ht="12.75" x14ac:dyDescent="0.2">
      <c r="A390" s="1"/>
      <c r="B390" s="8"/>
      <c r="C390" s="1"/>
    </row>
    <row r="391" spans="1:3" ht="12.75" x14ac:dyDescent="0.2">
      <c r="A391" s="1"/>
      <c r="B391" s="8" t="str">
        <f ca="1">IFERROR(__xludf.DUMMYFUNCTION("""COMPUTED_VALUE"""),"Татьяна Лебедева
Мария Галицкая")</f>
        <v>Татьяна Лебедева
Мария Галицкая</v>
      </c>
      <c r="C391" s="1" t="str">
        <f ca="1">IFERROR(__xludf.DUMMYFUNCTION("""COMPUTED_VALUE"""),"Татьяна Лебедева:
Генеральный директор ООО «Корпорация событий»
Мария Галицкая:
Проектный специалист, имеет более 20 кейсов с общей капитализацией проектов более 170 млн руб.")</f>
        <v>Татьяна Лебедева:
Генеральный директор ООО «Корпорация событий»
Мария Галицкая:
Проектный специалист, имеет более 20 кейсов с общей капитализацией проектов более 170 млн руб.</v>
      </c>
    </row>
    <row r="392" spans="1:3" ht="12.75" x14ac:dyDescent="0.2">
      <c r="A392" s="1"/>
      <c r="B392" s="8" t="str">
        <f ca="1">IFERROR(__xludf.DUMMYFUNCTION("""COMPUTED_VALUE"""),"Татьяна Лебедева
Сергей Пономарев
Мария Галицкая")</f>
        <v>Татьяна Лебедева
Сергей Пономарев
Мария Галицкая</v>
      </c>
      <c r="C392" s="1" t="str">
        <f ca="1">IFERROR(__xludf.DUMMYFUNCTION("""COMPUTED_VALUE"""),"Татьяна Лебедева:
Генеральный директор ООО «Корпорация событий»
Сергей Пономарев:
Со-основатель глобальной платформы для импакт-инвесторов и социальных стартапов Camomile
Мария Галицкая:
Проектный специалист, имеет более 20 кейсов с общей капитализацией п"&amp;"роектов более 170 млн руб.")</f>
        <v>Татьяна Лебедева:
Генеральный директор ООО «Корпорация событий»
Сергей Пономарев:
Со-основатель глобальной платформы для импакт-инвесторов и социальных стартапов Camomile
Мария Галицкая:
Проектный специалист, имеет более 20 кейсов с общей капитализацией проектов более 170 млн руб.</v>
      </c>
    </row>
    <row r="393" spans="1:3" ht="12.75" x14ac:dyDescent="0.2">
      <c r="A393" s="1"/>
      <c r="B393" s="8" t="str">
        <f ca="1">IFERROR(__xludf.DUMMYFUNCTION("""COMPUTED_VALUE"""),"Татьяна Лебедева
Сергей Пономарев
Мария Галицкая
Александр Яковлев")</f>
        <v>Татьяна Лебедева
Сергей Пономарев
Мария Галицкая
Александр Яковлев</v>
      </c>
      <c r="C393" s="1" t="str">
        <f ca="1">IFERROR(__xludf.DUMMYFUNCTION("""COMPUTED_VALUE"""),"Татьяна Лебедева:
Генеральный директор ООО «Корпорация событий»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"&amp;"более 20 кейсов с общей капитализацией проектов более 170 млн руб.
Александр Яковлев:
Амбассадор АО «Деловая среда», эксперт в области построения системного бизнеса, руководитель команды продаж Лучшего Startup филиала Крупной Телекоммуникационной компании"&amp;"
")</f>
        <v xml:space="preserve">Татьяна Лебедева:
Генеральный директор ООО «Корпорация событий»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более 20 кейсов с общей капитализацией проектов более 170 млн руб.
Александр Яковлев:
Амбассадор АО «Деловая среда», эксперт в области построения системного бизнеса, руководитель команды продаж Лучшего Startup филиала Крупной Телекоммуникационной компании
</v>
      </c>
    </row>
    <row r="394" spans="1:3" ht="12.75" x14ac:dyDescent="0.2">
      <c r="A394" s="1"/>
      <c r="B394" s="8" t="str">
        <f ca="1">IFERROR(__xludf.DUMMYFUNCTION("""COMPUTED_VALUE"""),"Татьяна Лебедева
Сергей Пономарев
Мария Галицкая
Дмитрий Ногтев")</f>
        <v>Татьяна Лебедева
Сергей Пономарев
Мария Галицкая
Дмитрий Ногтев</v>
      </c>
      <c r="C394" s="1" t="str">
        <f ca="1">IFERROR(__xludf.DUMMYFUNCTION("""COMPUTED_VALUE"""),"Татьяна Лебедева: Генеральный директор ООО «Корпорация событий»
Сергей Пономарев: Со-основатель глобальной платформы для импакт-инвесторов и социальных стартапов Camomile
Мария Галицкая: Проектный специалист, имеет более 20 кейсов с общей капитализацией п"&amp;"роектов более 170 млн руб.
Дмитрий Ногтев: Директор компании in-events.ru. Руководитель Владимирского регионального отделения Ассоциации молодых предпринимателей")</f>
        <v>Татьяна Лебедева: Генеральный директор ООО «Корпорация событий»
Сергей Пономарев: Со-основатель глобальной платформы для импакт-инвесторов и социальных стартапов Camomile
Мария Галицкая: Проектный специалист, имеет более 20 кейсов с общей капитализацией проектов более 170 млн руб.
Дмитрий Ногтев: Директор компании in-events.ru. Руководитель Владимирского регионального отделения Ассоциации молодых предпринимателей</v>
      </c>
    </row>
    <row r="395" spans="1:3" ht="12.75" x14ac:dyDescent="0.2">
      <c r="A395" s="1"/>
      <c r="B395" s="8" t="str">
        <f ca="1">IFERROR(__xludf.DUMMYFUNCTION("""COMPUTED_VALUE"""),"Татьяна Лебедева
Сергей Пономарев
Мария Галицкая
Дмитрий Ногтев")</f>
        <v>Татьяна Лебедева
Сергей Пономарев
Мария Галицкая
Дмитрий Ногтев</v>
      </c>
      <c r="C395" s="1" t="str">
        <f ca="1">IFERROR(__xludf.DUMMYFUNCTION("""COMPUTED_VALUE"""),"Татьяна Лебедева:
Генеральный директор ООО «Корпорация событий»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"&amp;"более 20 кейсов с общей капитализацией проектов более 170 млн руб.
Дмитрий Ногтев:
Амбассадор АО «Деловая среда»")</f>
        <v>Татьяна Лебедева:
Генеральный директор ООО «Корпорация событий»
Сергей Пономарев:
Основатель и владелец социальной сети «Росимпакт», управленческий консультант, эксперт в области социального предпринимательства
Мария Галицкая:
Проектный специалист, имеет более 20 кейсов с общей капитализацией проектов более 170 млн руб.
Дмитрий Ногтев:
Амбассадор АО «Деловая среда»</v>
      </c>
    </row>
    <row r="396" spans="1:3" ht="12.75" x14ac:dyDescent="0.2">
      <c r="A396" s="1"/>
      <c r="B396" s="8" t="str">
        <f ca="1">IFERROR(__xludf.DUMMYFUNCTION("""COMPUTED_VALUE"""),"Теймуров Сергей
Новикова Татьяна")</f>
        <v>Теймуров Сергей
Новикова Татьяна</v>
      </c>
      <c r="C396" s="1" t="str">
        <f ca="1">IFERROR(__xludf.DUMMYFUNCTION("""COMPUTED_VALUE"""),"Сергей Теймуров
- Директор по маркетингу Персона Менеджмент
- Преподаватель Бизнес школы Персона
- Эксперт-маркетолог 
Татьяна Новикова 
- Парикмахер, который сделал бизнес, бьюти тренер
- Опыт салонов в Москве и Сочи
- Блогер @zlaya_machexa
- Владелец п"&amp;"роф. магазина")</f>
        <v>Сергей Теймуров
- Директор по маркетингу Персона Менеджмент
- Преподаватель Бизнес школы Персона
- Эксперт-маркетолог 
Татьяна Новикова 
- Парикмахер, который сделал бизнес, бьюти тренер
- Опыт салонов в Москве и Сочи
- Блогер @zlaya_machexa
- Владелец проф. магазина</v>
      </c>
    </row>
    <row r="397" spans="1:3" ht="12.75" x14ac:dyDescent="0.2">
      <c r="A397" s="1"/>
      <c r="B397" s="8" t="str">
        <f ca="1">IFERROR(__xludf.DUMMYFUNCTION("""COMPUTED_VALUE"""),"Теймуров Сергей
Новикова Татьяна")</f>
        <v>Теймуров Сергей
Новикова Татьяна</v>
      </c>
      <c r="C397" s="1" t="str">
        <f ca="1">IFERROR(__xludf.DUMMYFUNCTION("""COMPUTED_VALUE"""),"Сергей Теймуров
- Директор по маркетингу Персона Менеджмент
- Преподаватель Бизнес школы Персона
- Эксперт-маркетолог 
Татьяна Новикова 
- Парикмахер, который сделал бизнес, бьюти тренер
- Опыт салонов в Москве и Сочи
- Блогер @zlaya_machexa
- Владелец п"&amp;"роф. магазина")</f>
        <v>Сергей Теймуров
- Директор по маркетингу Персона Менеджмент
- Преподаватель Бизнес школы Персона
- Эксперт-маркетолог 
Татьяна Новикова 
- Парикмахер, который сделал бизнес, бьюти тренер
- Опыт салонов в Москве и Сочи
- Блогер @zlaya_machexa
- Владелец проф. магазина</v>
      </c>
    </row>
    <row r="398" spans="1:3" ht="12.75" x14ac:dyDescent="0.2">
      <c r="A398" s="1"/>
      <c r="B398" s="8" t="str">
        <f ca="1">IFERROR(__xludf.DUMMYFUNCTION("""COMPUTED_VALUE"""),"Гончаренко Алина
Фешин Ярослав
Смерницкий Николай")</f>
        <v>Гончаренко Алина
Фешин Ярослав
Смерницкий Николай</v>
      </c>
      <c r="C398" s="1"/>
    </row>
    <row r="399" spans="1:3" ht="12.75" x14ac:dyDescent="0.2">
      <c r="A399" s="1"/>
      <c r="B399" s="8" t="str">
        <f ca="1">IFERROR(__xludf.DUMMYFUNCTION("""COMPUTED_VALUE"""),"Группа 1 Ульянова Ксения
Группа 2 Ланцман Антонина")</f>
        <v>Группа 1 Ульянова Ксения
Группа 2 Ланцман Антонина</v>
      </c>
      <c r="C399" s="1"/>
    </row>
    <row r="400" spans="1:3" ht="12.75" x14ac:dyDescent="0.2">
      <c r="A400" s="1"/>
      <c r="B400" s="8" t="str">
        <f ca="1">IFERROR(__xludf.DUMMYFUNCTION("""COMPUTED_VALUE"""),"Группа 1 Ульянова Ксения
Группа 2 Бешлиу Наталья
")</f>
        <v xml:space="preserve">Группа 1 Ульянова Ксения
Группа 2 Бешлиу Наталья
</v>
      </c>
      <c r="C400" s="1"/>
    </row>
    <row r="401" spans="1:3" ht="12.75" x14ac:dyDescent="0.2">
      <c r="A401" s="1"/>
      <c r="B401" s="8" t="str">
        <f ca="1">IFERROR(__xludf.DUMMYFUNCTION("""COMPUTED_VALUE"""),"Группа 1 Ульянова Ксения
Группа 2 Бешлиу Наталья
Группа 3 Ланцман Антонина")</f>
        <v>Группа 1 Ульянова Ксения
Группа 2 Бешлиу Наталья
Группа 3 Ланцман Антонина</v>
      </c>
      <c r="C401" s="1"/>
    </row>
    <row r="402" spans="1:3" ht="12.75" x14ac:dyDescent="0.2">
      <c r="A402" s="1"/>
      <c r="B402" s="8" t="str">
        <f ca="1">IFERROR(__xludf.DUMMYFUNCTION("""COMPUTED_VALUE"""),"Самсоненко Сергей ")</f>
        <v xml:space="preserve">Самсоненко Сергей </v>
      </c>
      <c r="C402" s="1" t="str">
        <f ca="1">IFERROR(__xludf.DUMMYFUNCTION("""COMPUTED_VALUE"""),"- ведущий специалист по онлайн-торговле InSales ")</f>
        <v xml:space="preserve">- ведущий специалист по онлайн-торговле InSales </v>
      </c>
    </row>
    <row r="403" spans="1:3" ht="12.75" x14ac:dyDescent="0.2">
      <c r="A403" s="1"/>
      <c r="B403" s="8"/>
      <c r="C403" s="1"/>
    </row>
    <row r="404" spans="1:3" ht="12.75" x14ac:dyDescent="0.2">
      <c r="A404" s="1"/>
      <c r="B404" s="8"/>
      <c r="C404" s="1"/>
    </row>
    <row r="405" spans="1:3" ht="12.75" x14ac:dyDescent="0.2">
      <c r="A405" s="1"/>
      <c r="B405" s="8"/>
      <c r="C405" s="1"/>
    </row>
    <row r="406" spans="1:3" ht="12.75" x14ac:dyDescent="0.2">
      <c r="A406" s="1"/>
      <c r="B406" s="8"/>
      <c r="C406" s="1"/>
    </row>
    <row r="407" spans="1:3" ht="12.75" x14ac:dyDescent="0.2">
      <c r="A407" s="1"/>
      <c r="B407" s="8"/>
      <c r="C407" s="1"/>
    </row>
    <row r="408" spans="1:3" ht="12.75" x14ac:dyDescent="0.2">
      <c r="A408" s="1"/>
      <c r="B408" s="8"/>
      <c r="C408" s="1"/>
    </row>
    <row r="409" spans="1:3" ht="12.75" x14ac:dyDescent="0.2">
      <c r="A409" s="1"/>
      <c r="B409" s="8"/>
      <c r="C409" s="1"/>
    </row>
    <row r="410" spans="1:3" ht="12.75" x14ac:dyDescent="0.2">
      <c r="A410" s="1"/>
      <c r="B410" s="8"/>
      <c r="C410" s="1"/>
    </row>
    <row r="411" spans="1:3" ht="12.75" x14ac:dyDescent="0.2">
      <c r="A411" s="1"/>
      <c r="B411" s="8"/>
      <c r="C411" s="1"/>
    </row>
    <row r="412" spans="1:3" ht="12.75" x14ac:dyDescent="0.2">
      <c r="A412" s="1"/>
      <c r="B412" s="8"/>
      <c r="C412" s="1"/>
    </row>
    <row r="413" spans="1:3" ht="12.75" x14ac:dyDescent="0.2">
      <c r="A413" s="1"/>
      <c r="B413" s="8"/>
      <c r="C413" s="1"/>
    </row>
    <row r="414" spans="1:3" ht="12.75" x14ac:dyDescent="0.2">
      <c r="A414" s="1"/>
      <c r="B414" s="8"/>
      <c r="C414" s="1"/>
    </row>
    <row r="415" spans="1:3" ht="12.75" x14ac:dyDescent="0.2">
      <c r="A415" s="1"/>
      <c r="B415" s="8"/>
      <c r="C415" s="1"/>
    </row>
    <row r="416" spans="1:3" ht="12.75" x14ac:dyDescent="0.2">
      <c r="A416" s="1"/>
      <c r="B416" s="8"/>
      <c r="C416" s="1"/>
    </row>
    <row r="417" spans="1:3" ht="12.75" x14ac:dyDescent="0.2">
      <c r="A417" s="1"/>
      <c r="B417" s="8"/>
      <c r="C417" s="1"/>
    </row>
    <row r="418" spans="1:3" ht="12.75" x14ac:dyDescent="0.2">
      <c r="A418" s="1"/>
      <c r="B418" s="8"/>
      <c r="C418" s="1"/>
    </row>
    <row r="419" spans="1:3" ht="12.75" x14ac:dyDescent="0.2">
      <c r="A419" s="1"/>
      <c r="B419" s="8"/>
      <c r="C419" s="1"/>
    </row>
    <row r="420" spans="1:3" ht="12.75" x14ac:dyDescent="0.2">
      <c r="A420" s="1"/>
      <c r="B420" s="8"/>
      <c r="C420" s="1"/>
    </row>
    <row r="421" spans="1:3" ht="12.75" x14ac:dyDescent="0.2">
      <c r="A421" s="1"/>
      <c r="B421" s="8"/>
      <c r="C421" s="1"/>
    </row>
    <row r="422" spans="1:3" ht="12.75" x14ac:dyDescent="0.2">
      <c r="A422" s="1"/>
      <c r="B422" s="8"/>
      <c r="C422" s="1"/>
    </row>
    <row r="423" spans="1:3" ht="12.75" x14ac:dyDescent="0.2">
      <c r="A423" s="1"/>
      <c r="B423" s="8"/>
      <c r="C423" s="1"/>
    </row>
    <row r="424" spans="1:3" ht="12.75" x14ac:dyDescent="0.2">
      <c r="A424" s="1"/>
      <c r="B424" s="8"/>
      <c r="C424" s="1"/>
    </row>
    <row r="425" spans="1:3" ht="12.75" x14ac:dyDescent="0.2">
      <c r="A425" s="1"/>
      <c r="B425" s="8"/>
      <c r="C425" s="1"/>
    </row>
    <row r="426" spans="1:3" ht="12.75" x14ac:dyDescent="0.2">
      <c r="A426" s="1"/>
      <c r="B426" s="8"/>
      <c r="C426" s="1"/>
    </row>
    <row r="427" spans="1:3" ht="12.75" x14ac:dyDescent="0.2">
      <c r="A427" s="1"/>
      <c r="B427" s="8"/>
      <c r="C427" s="1"/>
    </row>
    <row r="428" spans="1:3" ht="12.75" x14ac:dyDescent="0.2">
      <c r="A428" s="1"/>
      <c r="B428" s="8"/>
      <c r="C428" s="1"/>
    </row>
    <row r="429" spans="1:3" ht="12.75" x14ac:dyDescent="0.2">
      <c r="A429" s="1"/>
      <c r="B429" s="8"/>
      <c r="C429" s="1"/>
    </row>
    <row r="430" spans="1:3" ht="12.75" x14ac:dyDescent="0.2">
      <c r="A430" s="1"/>
      <c r="B430" s="8"/>
      <c r="C430" s="1"/>
    </row>
    <row r="431" spans="1:3" ht="12.75" x14ac:dyDescent="0.2">
      <c r="A431" s="1"/>
      <c r="B431" s="8"/>
      <c r="C431" s="1"/>
    </row>
    <row r="432" spans="1:3" ht="12.75" x14ac:dyDescent="0.2">
      <c r="A432" s="1"/>
      <c r="B432" s="8"/>
      <c r="C432" s="1"/>
    </row>
    <row r="433" spans="1:3" ht="12.75" x14ac:dyDescent="0.2">
      <c r="A433" s="1"/>
      <c r="B433" s="8"/>
      <c r="C433" s="1"/>
    </row>
    <row r="434" spans="1:3" ht="12.75" x14ac:dyDescent="0.2">
      <c r="A434" s="1"/>
      <c r="B434" s="8"/>
      <c r="C434" s="1"/>
    </row>
    <row r="435" spans="1:3" ht="12.75" x14ac:dyDescent="0.2">
      <c r="A435" s="1"/>
      <c r="B435" s="8"/>
      <c r="C435" s="1"/>
    </row>
    <row r="436" spans="1:3" ht="12.75" x14ac:dyDescent="0.2">
      <c r="A436" s="1"/>
      <c r="B436" s="8"/>
      <c r="C436" s="1"/>
    </row>
    <row r="437" spans="1:3" ht="12.75" x14ac:dyDescent="0.2">
      <c r="A437" s="1"/>
      <c r="B437" s="8"/>
      <c r="C437" s="1"/>
    </row>
    <row r="438" spans="1:3" ht="12.75" x14ac:dyDescent="0.2">
      <c r="A438" s="1"/>
      <c r="B438" s="8"/>
      <c r="C438" s="1"/>
    </row>
    <row r="439" spans="1:3" ht="12.75" x14ac:dyDescent="0.2">
      <c r="A439" s="1"/>
      <c r="B439" s="8"/>
      <c r="C439" s="1"/>
    </row>
    <row r="440" spans="1:3" ht="12.75" x14ac:dyDescent="0.2">
      <c r="A440" s="1"/>
      <c r="B440" s="8"/>
      <c r="C440" s="1"/>
    </row>
    <row r="441" spans="1:3" ht="12.75" x14ac:dyDescent="0.2">
      <c r="A441" s="1"/>
      <c r="B441" s="8"/>
      <c r="C441" s="1"/>
    </row>
    <row r="442" spans="1:3" ht="12.75" x14ac:dyDescent="0.2">
      <c r="A442" s="1"/>
      <c r="B442" s="8"/>
      <c r="C442" s="1"/>
    </row>
    <row r="443" spans="1:3" ht="12.75" x14ac:dyDescent="0.2">
      <c r="A443" s="1"/>
      <c r="B443" s="8"/>
      <c r="C443" s="1"/>
    </row>
    <row r="444" spans="1:3" ht="12.75" x14ac:dyDescent="0.2">
      <c r="A444" s="1"/>
      <c r="B444" s="8"/>
      <c r="C444" s="1"/>
    </row>
    <row r="445" spans="1:3" ht="12.75" x14ac:dyDescent="0.2">
      <c r="A445" s="1"/>
      <c r="B445" s="8"/>
      <c r="C445" s="1"/>
    </row>
    <row r="446" spans="1:3" ht="12.75" x14ac:dyDescent="0.2">
      <c r="A446" s="1"/>
      <c r="B446" s="8"/>
      <c r="C446" s="1"/>
    </row>
    <row r="447" spans="1:3" ht="12.75" x14ac:dyDescent="0.2">
      <c r="A447" s="1"/>
      <c r="B447" s="8"/>
      <c r="C447" s="1"/>
    </row>
    <row r="448" spans="1:3" ht="12.75" x14ac:dyDescent="0.2">
      <c r="A448" s="1"/>
      <c r="B448" s="8"/>
      <c r="C448" s="1"/>
    </row>
    <row r="449" spans="1:3" ht="12.75" x14ac:dyDescent="0.2">
      <c r="A449" s="1"/>
      <c r="B449" s="8"/>
      <c r="C449" s="1"/>
    </row>
    <row r="450" spans="1:3" ht="12.75" x14ac:dyDescent="0.2">
      <c r="A450" s="1"/>
      <c r="B450" s="8"/>
      <c r="C450" s="1"/>
    </row>
    <row r="451" spans="1:3" ht="12.75" x14ac:dyDescent="0.2">
      <c r="A451" s="1"/>
      <c r="B451" s="8"/>
      <c r="C451" s="1"/>
    </row>
    <row r="452" spans="1:3" ht="12.75" x14ac:dyDescent="0.2">
      <c r="A452" s="1"/>
      <c r="B452" s="8"/>
      <c r="C452" s="1"/>
    </row>
    <row r="453" spans="1:3" ht="12.75" x14ac:dyDescent="0.2">
      <c r="A453" s="1"/>
      <c r="B453" s="8"/>
      <c r="C453" s="1"/>
    </row>
    <row r="454" spans="1:3" ht="12.75" x14ac:dyDescent="0.2">
      <c r="A454" s="1"/>
      <c r="B454" s="8"/>
      <c r="C454" s="1"/>
    </row>
    <row r="455" spans="1:3" ht="12.75" x14ac:dyDescent="0.2">
      <c r="A455" s="1"/>
      <c r="B455" s="8"/>
      <c r="C455" s="1"/>
    </row>
    <row r="456" spans="1:3" ht="12.75" x14ac:dyDescent="0.2">
      <c r="A456" s="1"/>
      <c r="B456" s="8"/>
      <c r="C456" s="1"/>
    </row>
    <row r="457" spans="1:3" ht="12.75" x14ac:dyDescent="0.2">
      <c r="A457" s="1"/>
      <c r="B457" s="8"/>
      <c r="C457" s="1"/>
    </row>
    <row r="458" spans="1:3" ht="12.75" x14ac:dyDescent="0.2">
      <c r="A458" s="1"/>
      <c r="B458" s="8"/>
      <c r="C458" s="1"/>
    </row>
    <row r="459" spans="1:3" ht="12.75" x14ac:dyDescent="0.2">
      <c r="A459" s="1"/>
      <c r="B459" s="8"/>
      <c r="C459" s="1"/>
    </row>
    <row r="460" spans="1:3" ht="12.75" x14ac:dyDescent="0.2">
      <c r="A460" s="1"/>
      <c r="B460" s="8"/>
      <c r="C460" s="1"/>
    </row>
    <row r="461" spans="1:3" ht="12.75" x14ac:dyDescent="0.2">
      <c r="A461" s="1"/>
      <c r="B461" s="8"/>
      <c r="C461" s="1"/>
    </row>
    <row r="462" spans="1:3" ht="12.75" x14ac:dyDescent="0.2">
      <c r="A462" s="1"/>
      <c r="B462" s="8"/>
      <c r="C462" s="1"/>
    </row>
    <row r="463" spans="1:3" ht="12.75" x14ac:dyDescent="0.2">
      <c r="A463" s="1"/>
      <c r="B463" s="8"/>
      <c r="C463" s="1"/>
    </row>
    <row r="464" spans="1:3" ht="12.75" x14ac:dyDescent="0.2">
      <c r="A464" s="1"/>
      <c r="B464" s="8"/>
      <c r="C464" s="1"/>
    </row>
    <row r="465" spans="1:3" ht="12.75" x14ac:dyDescent="0.2">
      <c r="A465" s="1"/>
      <c r="B465" s="8"/>
      <c r="C465" s="1"/>
    </row>
    <row r="466" spans="1:3" ht="12.75" x14ac:dyDescent="0.2">
      <c r="A466" s="1"/>
      <c r="B466" s="8"/>
      <c r="C466" s="1"/>
    </row>
    <row r="467" spans="1:3" ht="12.75" x14ac:dyDescent="0.2">
      <c r="A467" s="1"/>
      <c r="B467" s="8"/>
      <c r="C467" s="1"/>
    </row>
    <row r="468" spans="1:3" ht="12.75" x14ac:dyDescent="0.2">
      <c r="A468" s="1"/>
      <c r="B468" s="8"/>
      <c r="C468" s="1"/>
    </row>
    <row r="469" spans="1:3" ht="12.75" x14ac:dyDescent="0.2">
      <c r="A469" s="1"/>
      <c r="B469" s="8"/>
      <c r="C469" s="1"/>
    </row>
    <row r="470" spans="1:3" ht="12.75" x14ac:dyDescent="0.2">
      <c r="A470" s="1"/>
      <c r="B470" s="8"/>
      <c r="C470" s="1"/>
    </row>
    <row r="471" spans="1:3" ht="12.75" x14ac:dyDescent="0.2">
      <c r="A471" s="1"/>
      <c r="B471" s="8"/>
      <c r="C471" s="1"/>
    </row>
    <row r="472" spans="1:3" ht="12.75" x14ac:dyDescent="0.2">
      <c r="A472" s="1"/>
      <c r="B472" s="8"/>
      <c r="C472" s="1"/>
    </row>
    <row r="473" spans="1:3" ht="12.75" x14ac:dyDescent="0.2">
      <c r="A473" s="1"/>
      <c r="B473" s="8"/>
      <c r="C473" s="1"/>
    </row>
    <row r="474" spans="1:3" ht="12.75" x14ac:dyDescent="0.2">
      <c r="A474" s="1"/>
      <c r="B474" s="8"/>
      <c r="C474" s="1"/>
    </row>
    <row r="475" spans="1:3" ht="12.75" x14ac:dyDescent="0.2">
      <c r="A475" s="1"/>
      <c r="B475" s="8"/>
      <c r="C475" s="1"/>
    </row>
    <row r="476" spans="1:3" ht="12.75" x14ac:dyDescent="0.2">
      <c r="A476" s="1"/>
      <c r="B476" s="8"/>
      <c r="C476" s="1"/>
    </row>
    <row r="477" spans="1:3" ht="12.75" x14ac:dyDescent="0.2">
      <c r="A477" s="1"/>
      <c r="B477" s="8"/>
      <c r="C477" s="1"/>
    </row>
    <row r="478" spans="1:3" ht="12.75" x14ac:dyDescent="0.2">
      <c r="A478" s="1"/>
      <c r="B478" s="8"/>
      <c r="C478" s="1"/>
    </row>
    <row r="479" spans="1:3" ht="12.75" x14ac:dyDescent="0.2">
      <c r="A479" s="1"/>
      <c r="B479" s="8"/>
      <c r="C479" s="1"/>
    </row>
    <row r="480" spans="1:3" ht="12.75" x14ac:dyDescent="0.2">
      <c r="A480" s="1"/>
      <c r="B480" s="8"/>
      <c r="C480" s="1"/>
    </row>
    <row r="481" spans="1:3" ht="12.75" x14ac:dyDescent="0.2">
      <c r="A481" s="1"/>
      <c r="B481" s="8"/>
      <c r="C481" s="1"/>
    </row>
    <row r="482" spans="1:3" ht="12.75" x14ac:dyDescent="0.2">
      <c r="A482" s="1"/>
      <c r="B482" s="8"/>
      <c r="C482" s="1"/>
    </row>
    <row r="483" spans="1:3" ht="12.75" x14ac:dyDescent="0.2">
      <c r="A483" s="1"/>
      <c r="B483" s="8"/>
      <c r="C483" s="1"/>
    </row>
    <row r="484" spans="1:3" ht="12.75" x14ac:dyDescent="0.2">
      <c r="A484" s="1"/>
      <c r="B484" s="8"/>
      <c r="C484" s="1"/>
    </row>
    <row r="485" spans="1:3" ht="12.75" x14ac:dyDescent="0.2">
      <c r="A485" s="1"/>
      <c r="B485" s="8"/>
      <c r="C485" s="1"/>
    </row>
    <row r="486" spans="1:3" ht="12.75" x14ac:dyDescent="0.2">
      <c r="A486" s="1"/>
      <c r="B486" s="8"/>
      <c r="C486" s="1"/>
    </row>
    <row r="487" spans="1:3" ht="12.75" x14ac:dyDescent="0.2">
      <c r="A487" s="1"/>
      <c r="B487" s="8"/>
      <c r="C487" s="1"/>
    </row>
    <row r="488" spans="1:3" ht="12.75" x14ac:dyDescent="0.2">
      <c r="A488" s="1"/>
      <c r="B488" s="8"/>
      <c r="C488" s="1"/>
    </row>
    <row r="489" spans="1:3" ht="12.75" x14ac:dyDescent="0.2">
      <c r="A489" s="1"/>
      <c r="B489" s="8"/>
      <c r="C489" s="1"/>
    </row>
    <row r="490" spans="1:3" ht="12.75" x14ac:dyDescent="0.2">
      <c r="A490" s="1"/>
      <c r="B490" s="8"/>
      <c r="C490" s="1"/>
    </row>
    <row r="491" spans="1:3" ht="12.75" x14ac:dyDescent="0.2">
      <c r="A491" s="1"/>
      <c r="B491" s="8"/>
      <c r="C491" s="1"/>
    </row>
    <row r="492" spans="1:3" ht="12.75" x14ac:dyDescent="0.2">
      <c r="A492" s="1"/>
      <c r="B492" s="8"/>
      <c r="C492" s="1"/>
    </row>
    <row r="493" spans="1:3" ht="12.75" x14ac:dyDescent="0.2">
      <c r="A493" s="1"/>
      <c r="B493" s="8"/>
      <c r="C493" s="1"/>
    </row>
    <row r="494" spans="1:3" ht="12.75" x14ac:dyDescent="0.2">
      <c r="A494" s="1"/>
      <c r="B494" s="8"/>
      <c r="C494" s="1"/>
    </row>
    <row r="495" spans="1:3" ht="12.75" x14ac:dyDescent="0.2">
      <c r="A495" s="1"/>
      <c r="B495" s="8"/>
      <c r="C495" s="1"/>
    </row>
    <row r="496" spans="1:3" ht="12.75" x14ac:dyDescent="0.2">
      <c r="A496" s="1"/>
      <c r="B496" s="8"/>
      <c r="C496" s="1"/>
    </row>
    <row r="497" spans="1:3" ht="12.75" x14ac:dyDescent="0.2">
      <c r="A497" s="1"/>
      <c r="B497" s="8"/>
      <c r="C497" s="1"/>
    </row>
    <row r="498" spans="1:3" ht="12.75" x14ac:dyDescent="0.2">
      <c r="A498" s="1"/>
      <c r="B498" s="8"/>
      <c r="C498" s="1"/>
    </row>
    <row r="499" spans="1:3" ht="12.75" x14ac:dyDescent="0.2">
      <c r="A499" s="1"/>
      <c r="B499" s="8"/>
      <c r="C499" s="1"/>
    </row>
    <row r="500" spans="1:3" ht="12.75" x14ac:dyDescent="0.2">
      <c r="A500" s="1"/>
      <c r="B500" s="8"/>
      <c r="C500" s="1"/>
    </row>
    <row r="501" spans="1:3" ht="12.75" x14ac:dyDescent="0.2">
      <c r="A501" s="1"/>
      <c r="B501" s="8"/>
      <c r="C501" s="1"/>
    </row>
    <row r="502" spans="1:3" ht="12.75" x14ac:dyDescent="0.2">
      <c r="A502" s="1"/>
      <c r="B502" s="8"/>
      <c r="C502" s="1"/>
    </row>
    <row r="503" spans="1:3" ht="12.75" x14ac:dyDescent="0.2">
      <c r="A503" s="1"/>
      <c r="B503" s="8"/>
      <c r="C503" s="1"/>
    </row>
    <row r="504" spans="1:3" ht="12.75" x14ac:dyDescent="0.2">
      <c r="A504" s="1"/>
      <c r="B504" s="8"/>
      <c r="C504" s="1"/>
    </row>
    <row r="505" spans="1:3" ht="12.75" x14ac:dyDescent="0.2">
      <c r="A505" s="1"/>
      <c r="B505" s="8"/>
      <c r="C505" s="1"/>
    </row>
    <row r="506" spans="1:3" ht="12.75" x14ac:dyDescent="0.2">
      <c r="A506" s="1"/>
      <c r="B506" s="8"/>
      <c r="C506" s="1"/>
    </row>
    <row r="507" spans="1:3" ht="12.75" x14ac:dyDescent="0.2">
      <c r="A507" s="1"/>
      <c r="B507" s="8"/>
      <c r="C507" s="1"/>
    </row>
    <row r="508" spans="1:3" ht="12.75" x14ac:dyDescent="0.2">
      <c r="A508" s="1"/>
      <c r="B508" s="8"/>
      <c r="C508" s="1"/>
    </row>
    <row r="509" spans="1:3" ht="12.75" x14ac:dyDescent="0.2">
      <c r="A509" s="1"/>
      <c r="B509" s="8"/>
      <c r="C509" s="1"/>
    </row>
    <row r="510" spans="1:3" ht="12.75" x14ac:dyDescent="0.2">
      <c r="A510" s="1"/>
      <c r="B510" s="8"/>
      <c r="C510" s="1"/>
    </row>
    <row r="511" spans="1:3" ht="12.75" x14ac:dyDescent="0.2">
      <c r="A511" s="1"/>
      <c r="B511" s="8"/>
      <c r="C511" s="1"/>
    </row>
    <row r="512" spans="1:3" ht="12.75" x14ac:dyDescent="0.2">
      <c r="A512" s="1"/>
      <c r="B512" s="8"/>
      <c r="C512" s="1"/>
    </row>
    <row r="513" spans="1:3" ht="12.75" x14ac:dyDescent="0.2">
      <c r="A513" s="1"/>
      <c r="B513" s="8"/>
      <c r="C513" s="1"/>
    </row>
    <row r="514" spans="1:3" ht="12.75" x14ac:dyDescent="0.2">
      <c r="A514" s="1"/>
      <c r="B514" s="8"/>
      <c r="C514" s="1"/>
    </row>
    <row r="515" spans="1:3" ht="12.75" x14ac:dyDescent="0.2">
      <c r="A515" s="1"/>
      <c r="B515" s="8"/>
      <c r="C515" s="1"/>
    </row>
    <row r="516" spans="1:3" ht="12.75" x14ac:dyDescent="0.2">
      <c r="A516" s="1"/>
      <c r="B516" s="8"/>
      <c r="C516" s="1"/>
    </row>
    <row r="517" spans="1:3" ht="12.75" x14ac:dyDescent="0.2">
      <c r="A517" s="1"/>
      <c r="B517" s="8"/>
      <c r="C517" s="1"/>
    </row>
    <row r="518" spans="1:3" ht="12.75" x14ac:dyDescent="0.2">
      <c r="A518" s="1"/>
      <c r="B518" s="8"/>
      <c r="C518" s="1"/>
    </row>
    <row r="519" spans="1:3" ht="12.75" x14ac:dyDescent="0.2">
      <c r="A519" s="1"/>
      <c r="B519" s="8"/>
      <c r="C519" s="1"/>
    </row>
    <row r="520" spans="1:3" ht="12.75" x14ac:dyDescent="0.2">
      <c r="A520" s="1"/>
      <c r="B520" s="8"/>
      <c r="C520" s="1"/>
    </row>
    <row r="521" spans="1:3" ht="12.75" x14ac:dyDescent="0.2">
      <c r="A521" s="1"/>
      <c r="B521" s="8"/>
      <c r="C521" s="1"/>
    </row>
    <row r="522" spans="1:3" ht="12.75" x14ac:dyDescent="0.2">
      <c r="A522" s="1"/>
      <c r="B522" s="8"/>
      <c r="C522" s="1"/>
    </row>
    <row r="523" spans="1:3" ht="12.75" x14ac:dyDescent="0.2">
      <c r="A523" s="1"/>
      <c r="B523" s="8"/>
      <c r="C523" s="1"/>
    </row>
    <row r="524" spans="1:3" ht="12.75" x14ac:dyDescent="0.2">
      <c r="A524" s="1"/>
      <c r="B524" s="8"/>
      <c r="C524" s="1"/>
    </row>
    <row r="525" spans="1:3" ht="12.75" x14ac:dyDescent="0.2">
      <c r="A525" s="1"/>
      <c r="B525" s="8"/>
      <c r="C525" s="1"/>
    </row>
    <row r="526" spans="1:3" ht="12.75" x14ac:dyDescent="0.2">
      <c r="A526" s="1"/>
      <c r="B526" s="8"/>
      <c r="C526" s="1"/>
    </row>
    <row r="527" spans="1:3" ht="12.75" x14ac:dyDescent="0.2">
      <c r="A527" s="1"/>
      <c r="B527" s="8"/>
      <c r="C527" s="1"/>
    </row>
    <row r="528" spans="1:3" ht="12.75" x14ac:dyDescent="0.2">
      <c r="A528" s="1"/>
      <c r="B528" s="8"/>
      <c r="C528" s="1"/>
    </row>
    <row r="529" spans="1:3" ht="12.75" x14ac:dyDescent="0.2">
      <c r="A529" s="1"/>
      <c r="B529" s="8"/>
      <c r="C529" s="1"/>
    </row>
    <row r="530" spans="1:3" ht="12.75" x14ac:dyDescent="0.2">
      <c r="A530" s="1"/>
      <c r="B530" s="8"/>
      <c r="C530" s="1"/>
    </row>
    <row r="531" spans="1:3" ht="12.75" x14ac:dyDescent="0.2">
      <c r="A531" s="1"/>
      <c r="B531" s="8"/>
      <c r="C531" s="1"/>
    </row>
    <row r="532" spans="1:3" ht="12.75" x14ac:dyDescent="0.2">
      <c r="A532" s="1"/>
      <c r="B532" s="8"/>
      <c r="C532" s="1"/>
    </row>
    <row r="533" spans="1:3" ht="12.75" x14ac:dyDescent="0.2">
      <c r="A533" s="1"/>
      <c r="B533" s="8"/>
      <c r="C533" s="1"/>
    </row>
    <row r="534" spans="1:3" ht="12.75" x14ac:dyDescent="0.2">
      <c r="A534" s="1"/>
      <c r="B534" s="8"/>
      <c r="C534" s="1"/>
    </row>
    <row r="535" spans="1:3" ht="12.75" x14ac:dyDescent="0.2">
      <c r="A535" s="1"/>
      <c r="B535" s="8"/>
      <c r="C535" s="1"/>
    </row>
    <row r="536" spans="1:3" ht="12.75" x14ac:dyDescent="0.2">
      <c r="A536" s="1"/>
      <c r="B536" s="8"/>
      <c r="C536" s="1"/>
    </row>
    <row r="537" spans="1:3" ht="12.75" x14ac:dyDescent="0.2">
      <c r="A537" s="1"/>
      <c r="B537" s="8"/>
      <c r="C537" s="1"/>
    </row>
    <row r="538" spans="1:3" ht="12.75" x14ac:dyDescent="0.2">
      <c r="A538" s="1"/>
      <c r="B538" s="8"/>
      <c r="C538" s="1"/>
    </row>
    <row r="539" spans="1:3" ht="12.75" x14ac:dyDescent="0.2">
      <c r="A539" s="1"/>
      <c r="B539" s="8"/>
      <c r="C539" s="1"/>
    </row>
    <row r="540" spans="1:3" ht="12.75" x14ac:dyDescent="0.2">
      <c r="A540" s="1"/>
      <c r="B540" s="8"/>
      <c r="C540" s="1"/>
    </row>
    <row r="541" spans="1:3" ht="12.75" x14ac:dyDescent="0.2">
      <c r="A541" s="1"/>
      <c r="B541" s="8"/>
      <c r="C541" s="1"/>
    </row>
    <row r="542" spans="1:3" ht="12.75" x14ac:dyDescent="0.2">
      <c r="A542" s="1"/>
      <c r="B542" s="8"/>
      <c r="C542" s="1"/>
    </row>
    <row r="543" spans="1:3" ht="12.75" x14ac:dyDescent="0.2">
      <c r="A543" s="1"/>
      <c r="B543" s="8"/>
      <c r="C543" s="1"/>
    </row>
    <row r="544" spans="1:3" ht="12.75" x14ac:dyDescent="0.2">
      <c r="A544" s="1"/>
      <c r="B544" s="8"/>
      <c r="C544" s="1"/>
    </row>
    <row r="545" spans="1:3" ht="12.75" x14ac:dyDescent="0.2">
      <c r="A545" s="1"/>
      <c r="B545" s="8"/>
      <c r="C545" s="1"/>
    </row>
    <row r="546" spans="1:3" ht="12.75" x14ac:dyDescent="0.2">
      <c r="A546" s="1"/>
      <c r="B546" s="8"/>
      <c r="C546" s="1"/>
    </row>
    <row r="547" spans="1:3" ht="12.75" x14ac:dyDescent="0.2">
      <c r="A547" s="1"/>
      <c r="B547" s="8"/>
      <c r="C547" s="1"/>
    </row>
    <row r="548" spans="1:3" ht="12.75" x14ac:dyDescent="0.2">
      <c r="A548" s="1"/>
      <c r="B548" s="8"/>
      <c r="C548" s="1"/>
    </row>
    <row r="549" spans="1:3" ht="12.75" x14ac:dyDescent="0.2">
      <c r="A549" s="1"/>
      <c r="B549" s="8"/>
      <c r="C549" s="1"/>
    </row>
    <row r="550" spans="1:3" ht="12.75" x14ac:dyDescent="0.2">
      <c r="A550" s="1"/>
      <c r="B550" s="8"/>
      <c r="C550" s="1"/>
    </row>
    <row r="551" spans="1:3" ht="12.75" x14ac:dyDescent="0.2">
      <c r="A551" s="1"/>
      <c r="B551" s="8"/>
      <c r="C551" s="1"/>
    </row>
    <row r="552" spans="1:3" ht="12.75" x14ac:dyDescent="0.2">
      <c r="A552" s="1"/>
      <c r="B552" s="8"/>
      <c r="C552" s="1"/>
    </row>
    <row r="553" spans="1:3" ht="12.75" x14ac:dyDescent="0.2">
      <c r="A553" s="1"/>
      <c r="B553" s="8"/>
      <c r="C553" s="1"/>
    </row>
    <row r="554" spans="1:3" ht="12.75" x14ac:dyDescent="0.2">
      <c r="A554" s="1"/>
      <c r="B554" s="8"/>
      <c r="C554" s="1"/>
    </row>
    <row r="555" spans="1:3" ht="12.75" x14ac:dyDescent="0.2">
      <c r="A555" s="1"/>
      <c r="B555" s="8"/>
      <c r="C555" s="1"/>
    </row>
    <row r="556" spans="1:3" ht="12.75" x14ac:dyDescent="0.2">
      <c r="A556" s="1"/>
      <c r="B556" s="8"/>
      <c r="C556" s="1"/>
    </row>
    <row r="557" spans="1:3" ht="12.75" x14ac:dyDescent="0.2">
      <c r="A557" s="1"/>
      <c r="B557" s="8"/>
      <c r="C557" s="1"/>
    </row>
    <row r="558" spans="1:3" ht="12.75" x14ac:dyDescent="0.2">
      <c r="A558" s="1"/>
      <c r="B558" s="8"/>
      <c r="C558" s="1"/>
    </row>
    <row r="559" spans="1:3" ht="12.75" x14ac:dyDescent="0.2">
      <c r="A559" s="1"/>
      <c r="B559" s="8"/>
      <c r="C559" s="1"/>
    </row>
    <row r="560" spans="1:3" ht="12.75" x14ac:dyDescent="0.2">
      <c r="A560" s="1"/>
      <c r="B560" s="8"/>
      <c r="C560" s="1"/>
    </row>
    <row r="561" spans="1:3" ht="12.75" x14ac:dyDescent="0.2">
      <c r="A561" s="1"/>
      <c r="B561" s="8"/>
      <c r="C561" s="1"/>
    </row>
    <row r="562" spans="1:3" ht="12.75" x14ac:dyDescent="0.2">
      <c r="A562" s="1"/>
      <c r="B562" s="8"/>
      <c r="C562" s="1"/>
    </row>
    <row r="563" spans="1:3" ht="12.75" x14ac:dyDescent="0.2">
      <c r="A563" s="1"/>
      <c r="B563" s="8"/>
      <c r="C563" s="1"/>
    </row>
    <row r="564" spans="1:3" ht="12.75" x14ac:dyDescent="0.2">
      <c r="A564" s="1"/>
      <c r="B564" s="8"/>
      <c r="C564" s="1"/>
    </row>
    <row r="565" spans="1:3" ht="12.75" x14ac:dyDescent="0.2">
      <c r="A565" s="1"/>
      <c r="B565" s="8"/>
      <c r="C565" s="1"/>
    </row>
    <row r="566" spans="1:3" ht="12.75" x14ac:dyDescent="0.2">
      <c r="A566" s="1"/>
      <c r="B566" s="8"/>
      <c r="C566" s="1"/>
    </row>
    <row r="567" spans="1:3" ht="12.75" x14ac:dyDescent="0.2">
      <c r="A567" s="1"/>
      <c r="B567" s="8"/>
      <c r="C567" s="1"/>
    </row>
    <row r="568" spans="1:3" ht="12.75" x14ac:dyDescent="0.2">
      <c r="A568" s="1"/>
      <c r="B568" s="8"/>
      <c r="C568" s="1"/>
    </row>
    <row r="569" spans="1:3" ht="12.75" x14ac:dyDescent="0.2">
      <c r="A569" s="1"/>
      <c r="B569" s="8"/>
      <c r="C569" s="1"/>
    </row>
    <row r="570" spans="1:3" ht="12.75" x14ac:dyDescent="0.2">
      <c r="A570" s="1"/>
      <c r="B570" s="8"/>
      <c r="C570" s="1"/>
    </row>
    <row r="571" spans="1:3" ht="12.75" x14ac:dyDescent="0.2">
      <c r="A571" s="1"/>
      <c r="B571" s="8"/>
      <c r="C571" s="1"/>
    </row>
    <row r="572" spans="1:3" ht="12.75" x14ac:dyDescent="0.2">
      <c r="A572" s="1"/>
      <c r="B572" s="8"/>
      <c r="C572" s="1"/>
    </row>
    <row r="573" spans="1:3" ht="12.75" x14ac:dyDescent="0.2">
      <c r="A573" s="1"/>
      <c r="B573" s="8"/>
      <c r="C573" s="1"/>
    </row>
    <row r="574" spans="1:3" ht="12.75" x14ac:dyDescent="0.2">
      <c r="A574" s="1"/>
      <c r="B574" s="8"/>
      <c r="C574" s="1"/>
    </row>
    <row r="575" spans="1:3" ht="12.75" x14ac:dyDescent="0.2">
      <c r="A575" s="1"/>
      <c r="B575" s="8"/>
      <c r="C575" s="1"/>
    </row>
    <row r="576" spans="1:3" ht="12.75" x14ac:dyDescent="0.2">
      <c r="A576" s="1"/>
      <c r="B576" s="8"/>
      <c r="C576" s="1"/>
    </row>
    <row r="577" spans="1:3" ht="12.75" x14ac:dyDescent="0.2">
      <c r="A577" s="1"/>
      <c r="B577" s="8"/>
      <c r="C577" s="1"/>
    </row>
    <row r="578" spans="1:3" ht="12.75" x14ac:dyDescent="0.2">
      <c r="A578" s="1"/>
      <c r="B578" s="8"/>
      <c r="C578" s="1"/>
    </row>
    <row r="579" spans="1:3" ht="12.75" x14ac:dyDescent="0.2">
      <c r="A579" s="1"/>
      <c r="B579" s="8"/>
      <c r="C579" s="1"/>
    </row>
    <row r="580" spans="1:3" ht="12.75" x14ac:dyDescent="0.2">
      <c r="A580" s="1"/>
      <c r="B580" s="8"/>
      <c r="C580" s="1"/>
    </row>
    <row r="581" spans="1:3" ht="12.75" x14ac:dyDescent="0.2">
      <c r="A581" s="1"/>
      <c r="B581" s="8"/>
      <c r="C581" s="1"/>
    </row>
    <row r="582" spans="1:3" ht="12.75" x14ac:dyDescent="0.2">
      <c r="A582" s="1"/>
      <c r="B582" s="8"/>
      <c r="C582" s="1"/>
    </row>
    <row r="583" spans="1:3" ht="12.75" x14ac:dyDescent="0.2">
      <c r="A583" s="1"/>
      <c r="B583" s="8"/>
      <c r="C583" s="1"/>
    </row>
    <row r="584" spans="1:3" ht="12.75" x14ac:dyDescent="0.2">
      <c r="A584" s="1"/>
      <c r="B584" s="8"/>
      <c r="C584" s="1"/>
    </row>
    <row r="585" spans="1:3" ht="12.75" x14ac:dyDescent="0.2">
      <c r="A585" s="1"/>
      <c r="B585" s="8"/>
      <c r="C585" s="1"/>
    </row>
    <row r="586" spans="1:3" ht="12.75" x14ac:dyDescent="0.2">
      <c r="A586" s="1"/>
      <c r="B586" s="8"/>
      <c r="C586" s="1"/>
    </row>
    <row r="587" spans="1:3" ht="12.75" x14ac:dyDescent="0.2">
      <c r="A587" s="1"/>
      <c r="B587" s="8"/>
      <c r="C587" s="1"/>
    </row>
    <row r="588" spans="1:3" ht="12.75" x14ac:dyDescent="0.2">
      <c r="A588" s="1"/>
      <c r="B588" s="8"/>
      <c r="C588" s="1"/>
    </row>
    <row r="589" spans="1:3" ht="12.75" x14ac:dyDescent="0.2">
      <c r="A589" s="1"/>
      <c r="B589" s="8"/>
      <c r="C589" s="1"/>
    </row>
    <row r="590" spans="1:3" ht="12.75" x14ac:dyDescent="0.2">
      <c r="A590" s="1"/>
      <c r="B590" s="8"/>
      <c r="C590" s="1"/>
    </row>
    <row r="591" spans="1:3" ht="12.75" x14ac:dyDescent="0.2">
      <c r="A591" s="1"/>
      <c r="B591" s="8"/>
      <c r="C591" s="1"/>
    </row>
    <row r="592" spans="1:3" ht="12.75" x14ac:dyDescent="0.2">
      <c r="A592" s="1"/>
      <c r="B592" s="8"/>
      <c r="C592" s="1"/>
    </row>
    <row r="593" spans="1:3" ht="12.75" x14ac:dyDescent="0.2">
      <c r="A593" s="1"/>
      <c r="B593" s="8"/>
      <c r="C593" s="1"/>
    </row>
    <row r="594" spans="1:3" ht="12.75" x14ac:dyDescent="0.2">
      <c r="A594" s="1"/>
      <c r="B594" s="8"/>
      <c r="C594" s="1"/>
    </row>
    <row r="595" spans="1:3" ht="12.75" x14ac:dyDescent="0.2">
      <c r="A595" s="1"/>
      <c r="B595" s="8"/>
      <c r="C595" s="1"/>
    </row>
    <row r="596" spans="1:3" ht="12.75" x14ac:dyDescent="0.2">
      <c r="A596" s="1"/>
      <c r="B596" s="8"/>
      <c r="C596" s="1"/>
    </row>
    <row r="597" spans="1:3" ht="12.75" x14ac:dyDescent="0.2">
      <c r="A597" s="1"/>
      <c r="B597" s="8"/>
      <c r="C597" s="1"/>
    </row>
    <row r="598" spans="1:3" ht="12.75" x14ac:dyDescent="0.2">
      <c r="A598" s="1"/>
      <c r="B598" s="8"/>
      <c r="C598" s="1"/>
    </row>
    <row r="599" spans="1:3" ht="12.75" x14ac:dyDescent="0.2">
      <c r="A599" s="1"/>
      <c r="B599" s="8"/>
      <c r="C599" s="1"/>
    </row>
    <row r="600" spans="1:3" ht="12.75" x14ac:dyDescent="0.2">
      <c r="A600" s="1"/>
      <c r="B600" s="8"/>
      <c r="C600" s="1"/>
    </row>
    <row r="601" spans="1:3" ht="12.75" x14ac:dyDescent="0.2">
      <c r="A601" s="1"/>
      <c r="B601" s="8"/>
      <c r="C601" s="1"/>
    </row>
    <row r="602" spans="1:3" ht="12.75" x14ac:dyDescent="0.2">
      <c r="A602" s="1"/>
      <c r="B602" s="8"/>
      <c r="C602" s="1"/>
    </row>
    <row r="603" spans="1:3" ht="12.75" x14ac:dyDescent="0.2">
      <c r="A603" s="1"/>
      <c r="B603" s="8"/>
      <c r="C603" s="1"/>
    </row>
    <row r="604" spans="1:3" ht="12.75" x14ac:dyDescent="0.2">
      <c r="A604" s="1"/>
      <c r="B604" s="8"/>
      <c r="C604" s="1"/>
    </row>
    <row r="605" spans="1:3" ht="12.75" x14ac:dyDescent="0.2">
      <c r="A605" s="1"/>
      <c r="B605" s="8"/>
      <c r="C605" s="1"/>
    </row>
    <row r="606" spans="1:3" ht="12.75" x14ac:dyDescent="0.2">
      <c r="A606" s="1"/>
      <c r="B606" s="8"/>
      <c r="C606" s="1"/>
    </row>
    <row r="607" spans="1:3" ht="12.75" x14ac:dyDescent="0.2">
      <c r="A607" s="1"/>
      <c r="B607" s="8"/>
      <c r="C607" s="1"/>
    </row>
    <row r="608" spans="1:3" ht="12.75" x14ac:dyDescent="0.2">
      <c r="A608" s="1"/>
      <c r="B608" s="8"/>
      <c r="C608" s="1"/>
    </row>
    <row r="609" spans="1:3" ht="12.75" x14ac:dyDescent="0.2">
      <c r="A609" s="1"/>
      <c r="B609" s="8"/>
      <c r="C609" s="1"/>
    </row>
    <row r="610" spans="1:3" ht="12.75" x14ac:dyDescent="0.2">
      <c r="A610" s="1"/>
      <c r="B610" s="8"/>
      <c r="C610" s="1"/>
    </row>
    <row r="611" spans="1:3" ht="12.75" x14ac:dyDescent="0.2">
      <c r="A611" s="1"/>
      <c r="B611" s="8"/>
      <c r="C611" s="1"/>
    </row>
    <row r="612" spans="1:3" ht="12.75" x14ac:dyDescent="0.2">
      <c r="A612" s="1"/>
      <c r="B612" s="8"/>
      <c r="C612" s="1"/>
    </row>
    <row r="613" spans="1:3" ht="12.75" x14ac:dyDescent="0.2">
      <c r="A613" s="1"/>
      <c r="B613" s="8"/>
      <c r="C613" s="1"/>
    </row>
    <row r="614" spans="1:3" ht="12.75" x14ac:dyDescent="0.2">
      <c r="A614" s="1"/>
      <c r="B614" s="8"/>
      <c r="C614" s="1"/>
    </row>
    <row r="615" spans="1:3" ht="12.75" x14ac:dyDescent="0.2">
      <c r="A615" s="1"/>
      <c r="B615" s="8"/>
      <c r="C615" s="1"/>
    </row>
    <row r="616" spans="1:3" ht="12.75" x14ac:dyDescent="0.2">
      <c r="A616" s="1"/>
      <c r="B616" s="8"/>
      <c r="C616" s="1"/>
    </row>
    <row r="617" spans="1:3" ht="12.75" x14ac:dyDescent="0.2">
      <c r="A617" s="1"/>
      <c r="B617" s="8"/>
      <c r="C617" s="1"/>
    </row>
    <row r="618" spans="1:3" ht="12.75" x14ac:dyDescent="0.2">
      <c r="A618" s="1"/>
      <c r="B618" s="8"/>
      <c r="C618" s="1"/>
    </row>
    <row r="619" spans="1:3" ht="12.75" x14ac:dyDescent="0.2">
      <c r="A619" s="1"/>
      <c r="B619" s="8"/>
      <c r="C619" s="1"/>
    </row>
    <row r="620" spans="1:3" ht="12.75" x14ac:dyDescent="0.2">
      <c r="A620" s="1"/>
      <c r="B620" s="8"/>
      <c r="C620" s="1"/>
    </row>
    <row r="621" spans="1:3" ht="12.75" x14ac:dyDescent="0.2">
      <c r="A621" s="1"/>
      <c r="B621" s="8"/>
      <c r="C621" s="1"/>
    </row>
    <row r="622" spans="1:3" ht="12.75" x14ac:dyDescent="0.2">
      <c r="A622" s="1"/>
      <c r="B622" s="8"/>
      <c r="C622" s="1"/>
    </row>
    <row r="623" spans="1:3" ht="12.75" x14ac:dyDescent="0.2">
      <c r="A623" s="1"/>
      <c r="B623" s="8"/>
      <c r="C623" s="1"/>
    </row>
    <row r="624" spans="1:3" ht="12.75" x14ac:dyDescent="0.2">
      <c r="A624" s="1"/>
      <c r="B624" s="8"/>
      <c r="C624" s="1"/>
    </row>
    <row r="625" spans="1:3" ht="12.75" x14ac:dyDescent="0.2">
      <c r="A625" s="1"/>
      <c r="B625" s="8"/>
      <c r="C625" s="1"/>
    </row>
    <row r="626" spans="1:3" ht="12.75" x14ac:dyDescent="0.2">
      <c r="A626" s="1"/>
      <c r="B626" s="8"/>
      <c r="C626" s="1"/>
    </row>
    <row r="627" spans="1:3" ht="12.75" x14ac:dyDescent="0.2">
      <c r="A627" s="1"/>
      <c r="B627" s="8"/>
      <c r="C627" s="1"/>
    </row>
    <row r="628" spans="1:3" ht="12.75" x14ac:dyDescent="0.2">
      <c r="A628" s="1"/>
      <c r="B628" s="8"/>
      <c r="C628" s="1"/>
    </row>
    <row r="629" spans="1:3" ht="12.75" x14ac:dyDescent="0.2">
      <c r="A629" s="1"/>
      <c r="B629" s="8"/>
      <c r="C629" s="1"/>
    </row>
    <row r="630" spans="1:3" ht="12.75" x14ac:dyDescent="0.2">
      <c r="A630" s="1"/>
      <c r="B630" s="8"/>
      <c r="C630" s="1"/>
    </row>
    <row r="631" spans="1:3" ht="12.75" x14ac:dyDescent="0.2">
      <c r="A631" s="1"/>
      <c r="B631" s="8"/>
      <c r="C631" s="1"/>
    </row>
    <row r="632" spans="1:3" ht="12.75" x14ac:dyDescent="0.2">
      <c r="A632" s="1"/>
      <c r="B632" s="8"/>
      <c r="C632" s="1"/>
    </row>
    <row r="633" spans="1:3" ht="12.75" x14ac:dyDescent="0.2">
      <c r="A633" s="1"/>
      <c r="B633" s="8"/>
      <c r="C633" s="1"/>
    </row>
    <row r="634" spans="1:3" ht="12.75" x14ac:dyDescent="0.2">
      <c r="A634" s="1"/>
      <c r="B634" s="8"/>
      <c r="C634" s="1"/>
    </row>
    <row r="635" spans="1:3" ht="12.75" x14ac:dyDescent="0.2">
      <c r="A635" s="1"/>
      <c r="B635" s="8"/>
      <c r="C635" s="1"/>
    </row>
    <row r="636" spans="1:3" ht="12.75" x14ac:dyDescent="0.2">
      <c r="A636" s="1"/>
      <c r="B636" s="8"/>
      <c r="C636" s="1"/>
    </row>
    <row r="637" spans="1:3" ht="12.75" x14ac:dyDescent="0.2">
      <c r="A637" s="1"/>
      <c r="B637" s="8"/>
      <c r="C637" s="1"/>
    </row>
    <row r="638" spans="1:3" ht="12.75" x14ac:dyDescent="0.2">
      <c r="A638" s="1"/>
      <c r="B638" s="8"/>
      <c r="C638" s="1"/>
    </row>
    <row r="639" spans="1:3" ht="12.75" x14ac:dyDescent="0.2">
      <c r="A639" s="1"/>
      <c r="B639" s="8"/>
      <c r="C639" s="1"/>
    </row>
    <row r="640" spans="1:3" ht="12.75" x14ac:dyDescent="0.2">
      <c r="A640" s="1"/>
      <c r="B640" s="8"/>
      <c r="C640" s="1"/>
    </row>
    <row r="641" spans="1:3" ht="12.75" x14ac:dyDescent="0.2">
      <c r="A641" s="1"/>
      <c r="B641" s="8"/>
      <c r="C641" s="1"/>
    </row>
    <row r="642" spans="1:3" ht="12.75" x14ac:dyDescent="0.2">
      <c r="A642" s="1"/>
      <c r="B642" s="8"/>
      <c r="C642" s="1"/>
    </row>
    <row r="643" spans="1:3" ht="12.75" x14ac:dyDescent="0.2">
      <c r="A643" s="1"/>
      <c r="B643" s="8"/>
      <c r="C643" s="1"/>
    </row>
    <row r="644" spans="1:3" ht="12.75" x14ac:dyDescent="0.2">
      <c r="A644" s="1"/>
      <c r="B644" s="8"/>
      <c r="C644" s="1"/>
    </row>
    <row r="645" spans="1:3" ht="12.75" x14ac:dyDescent="0.2">
      <c r="A645" s="1"/>
      <c r="B645" s="8"/>
      <c r="C645" s="1"/>
    </row>
    <row r="646" spans="1:3" ht="12.75" x14ac:dyDescent="0.2">
      <c r="A646" s="1"/>
      <c r="B646" s="8"/>
      <c r="C646" s="1"/>
    </row>
    <row r="647" spans="1:3" ht="12.75" x14ac:dyDescent="0.2">
      <c r="A647" s="1"/>
      <c r="B647" s="8"/>
      <c r="C647" s="1"/>
    </row>
    <row r="648" spans="1:3" ht="12.75" x14ac:dyDescent="0.2">
      <c r="A648" s="1"/>
      <c r="B648" s="8"/>
      <c r="C648" s="1"/>
    </row>
    <row r="649" spans="1:3" ht="12.75" x14ac:dyDescent="0.2">
      <c r="A649" s="1"/>
      <c r="B649" s="8"/>
      <c r="C649" s="1"/>
    </row>
    <row r="650" spans="1:3" ht="12.75" x14ac:dyDescent="0.2">
      <c r="A650" s="1"/>
      <c r="B650" s="8"/>
      <c r="C650" s="1"/>
    </row>
    <row r="651" spans="1:3" ht="12.75" x14ac:dyDescent="0.2">
      <c r="A651" s="1"/>
      <c r="B651" s="8"/>
      <c r="C651" s="1"/>
    </row>
    <row r="652" spans="1:3" ht="12.75" x14ac:dyDescent="0.2">
      <c r="A652" s="1"/>
      <c r="B652" s="8"/>
      <c r="C652" s="1"/>
    </row>
    <row r="653" spans="1:3" ht="12.75" x14ac:dyDescent="0.2">
      <c r="A653" s="1"/>
      <c r="B653" s="8"/>
      <c r="C653" s="1"/>
    </row>
    <row r="654" spans="1:3" ht="12.75" x14ac:dyDescent="0.2">
      <c r="A654" s="1"/>
      <c r="B654" s="8"/>
      <c r="C654" s="1"/>
    </row>
    <row r="655" spans="1:3" ht="12.75" x14ac:dyDescent="0.2">
      <c r="A655" s="1"/>
      <c r="B655" s="8"/>
      <c r="C655" s="1"/>
    </row>
    <row r="656" spans="1:3" ht="12.75" x14ac:dyDescent="0.2">
      <c r="A656" s="1"/>
      <c r="B656" s="8"/>
      <c r="C656" s="1"/>
    </row>
    <row r="657" spans="1:3" ht="12.75" x14ac:dyDescent="0.2">
      <c r="A657" s="1"/>
      <c r="B657" s="8"/>
      <c r="C657" s="1"/>
    </row>
    <row r="658" spans="1:3" ht="12.75" x14ac:dyDescent="0.2">
      <c r="A658" s="1"/>
      <c r="B658" s="8"/>
      <c r="C658" s="1"/>
    </row>
    <row r="659" spans="1:3" ht="12.75" x14ac:dyDescent="0.2">
      <c r="A659" s="1"/>
      <c r="B659" s="8"/>
      <c r="C659" s="1"/>
    </row>
    <row r="660" spans="1:3" ht="12.75" x14ac:dyDescent="0.2">
      <c r="A660" s="1"/>
      <c r="B660" s="8"/>
      <c r="C660" s="1"/>
    </row>
    <row r="661" spans="1:3" ht="12.75" x14ac:dyDescent="0.2">
      <c r="A661" s="1"/>
      <c r="B661" s="8"/>
      <c r="C661" s="1"/>
    </row>
    <row r="662" spans="1:3" ht="12.75" x14ac:dyDescent="0.2">
      <c r="A662" s="1"/>
      <c r="B662" s="8"/>
      <c r="C662" s="1"/>
    </row>
    <row r="663" spans="1:3" ht="12.75" x14ac:dyDescent="0.2">
      <c r="A663" s="1"/>
      <c r="B663" s="8"/>
      <c r="C663" s="1"/>
    </row>
    <row r="664" spans="1:3" ht="12.75" x14ac:dyDescent="0.2">
      <c r="A664" s="1"/>
      <c r="B664" s="8"/>
      <c r="C664" s="1"/>
    </row>
    <row r="665" spans="1:3" ht="12.75" x14ac:dyDescent="0.2">
      <c r="A665" s="1"/>
      <c r="B665" s="8"/>
      <c r="C665" s="1"/>
    </row>
    <row r="666" spans="1:3" ht="12.75" x14ac:dyDescent="0.2">
      <c r="A666" s="1"/>
      <c r="B666" s="8"/>
      <c r="C666" s="1"/>
    </row>
    <row r="667" spans="1:3" ht="12.75" x14ac:dyDescent="0.2">
      <c r="A667" s="1"/>
      <c r="B667" s="8"/>
      <c r="C667" s="1"/>
    </row>
    <row r="668" spans="1:3" ht="12.75" x14ac:dyDescent="0.2">
      <c r="A668" s="1"/>
      <c r="B668" s="8"/>
      <c r="C668" s="1"/>
    </row>
    <row r="669" spans="1:3" ht="12.75" x14ac:dyDescent="0.2">
      <c r="A669" s="1"/>
      <c r="B669" s="8"/>
      <c r="C669" s="1"/>
    </row>
    <row r="670" spans="1:3" ht="12.75" x14ac:dyDescent="0.2">
      <c r="A670" s="1"/>
      <c r="B670" s="8"/>
      <c r="C670" s="1"/>
    </row>
    <row r="671" spans="1:3" ht="12.75" x14ac:dyDescent="0.2">
      <c r="A671" s="1"/>
      <c r="B671" s="8"/>
      <c r="C671" s="1"/>
    </row>
    <row r="672" spans="1:3" ht="12.75" x14ac:dyDescent="0.2">
      <c r="A672" s="1"/>
      <c r="B672" s="8"/>
      <c r="C672" s="1"/>
    </row>
    <row r="673" spans="1:3" ht="12.75" x14ac:dyDescent="0.2">
      <c r="A673" s="1"/>
      <c r="B673" s="8"/>
      <c r="C673" s="1"/>
    </row>
    <row r="674" spans="1:3" ht="12.75" x14ac:dyDescent="0.2">
      <c r="A674" s="1"/>
      <c r="B674" s="8"/>
      <c r="C674" s="1"/>
    </row>
    <row r="675" spans="1:3" ht="12.75" x14ac:dyDescent="0.2">
      <c r="A675" s="1"/>
      <c r="B675" s="8"/>
      <c r="C675" s="1"/>
    </row>
    <row r="676" spans="1:3" ht="12.75" x14ac:dyDescent="0.2">
      <c r="A676" s="1"/>
      <c r="B676" s="8"/>
      <c r="C676" s="1"/>
    </row>
    <row r="677" spans="1:3" ht="12.75" x14ac:dyDescent="0.2">
      <c r="A677" s="1"/>
      <c r="B677" s="8"/>
      <c r="C677" s="1"/>
    </row>
    <row r="678" spans="1:3" ht="12.75" x14ac:dyDescent="0.2">
      <c r="A678" s="1"/>
      <c r="B678" s="8"/>
      <c r="C678" s="1"/>
    </row>
    <row r="679" spans="1:3" ht="12.75" x14ac:dyDescent="0.2">
      <c r="A679" s="1"/>
      <c r="B679" s="8"/>
      <c r="C679" s="1"/>
    </row>
    <row r="680" spans="1:3" ht="12.75" x14ac:dyDescent="0.2">
      <c r="A680" s="1"/>
      <c r="B680" s="8"/>
      <c r="C680" s="1"/>
    </row>
    <row r="681" spans="1:3" ht="12.75" x14ac:dyDescent="0.2">
      <c r="A681" s="1"/>
      <c r="B681" s="8"/>
      <c r="C681" s="1"/>
    </row>
    <row r="682" spans="1:3" ht="12.75" x14ac:dyDescent="0.2">
      <c r="A682" s="1"/>
      <c r="B682" s="8"/>
      <c r="C682" s="1"/>
    </row>
    <row r="683" spans="1:3" ht="12.75" x14ac:dyDescent="0.2">
      <c r="A683" s="1"/>
      <c r="B683" s="8"/>
      <c r="C683" s="1"/>
    </row>
    <row r="684" spans="1:3" ht="12.75" x14ac:dyDescent="0.2">
      <c r="A684" s="1"/>
      <c r="B684" s="8"/>
      <c r="C684" s="1"/>
    </row>
    <row r="685" spans="1:3" ht="12.75" x14ac:dyDescent="0.2">
      <c r="A685" s="1"/>
      <c r="B685" s="8"/>
      <c r="C685" s="1"/>
    </row>
    <row r="686" spans="1:3" ht="12.75" x14ac:dyDescent="0.2">
      <c r="A686" s="1"/>
      <c r="B686" s="8"/>
      <c r="C686" s="1"/>
    </row>
    <row r="687" spans="1:3" ht="12.75" x14ac:dyDescent="0.2">
      <c r="A687" s="1"/>
      <c r="B687" s="8"/>
      <c r="C687" s="1"/>
    </row>
    <row r="688" spans="1:3" ht="12.75" x14ac:dyDescent="0.2">
      <c r="A688" s="1"/>
      <c r="B688" s="8"/>
      <c r="C688" s="1"/>
    </row>
    <row r="689" spans="1:3" ht="12.75" x14ac:dyDescent="0.2">
      <c r="A689" s="1"/>
      <c r="B689" s="8"/>
      <c r="C689" s="1"/>
    </row>
    <row r="690" spans="1:3" ht="12.75" x14ac:dyDescent="0.2">
      <c r="A690" s="1"/>
      <c r="B690" s="8"/>
      <c r="C690" s="1"/>
    </row>
    <row r="691" spans="1:3" ht="12.75" x14ac:dyDescent="0.2">
      <c r="A691" s="1"/>
      <c r="B691" s="8"/>
      <c r="C691" s="1"/>
    </row>
    <row r="692" spans="1:3" ht="12.75" x14ac:dyDescent="0.2">
      <c r="A692" s="1"/>
      <c r="B692" s="8"/>
      <c r="C692" s="1"/>
    </row>
    <row r="693" spans="1:3" ht="12.75" x14ac:dyDescent="0.2">
      <c r="A693" s="1"/>
      <c r="B693" s="8"/>
      <c r="C693" s="1"/>
    </row>
    <row r="694" spans="1:3" ht="12.75" x14ac:dyDescent="0.2">
      <c r="A694" s="1"/>
      <c r="B694" s="8"/>
      <c r="C694" s="1"/>
    </row>
    <row r="695" spans="1:3" ht="12.75" x14ac:dyDescent="0.2">
      <c r="A695" s="1"/>
      <c r="B695" s="8"/>
      <c r="C695" s="1"/>
    </row>
    <row r="696" spans="1:3" ht="12.75" x14ac:dyDescent="0.2">
      <c r="A696" s="1"/>
      <c r="B696" s="8"/>
      <c r="C696" s="1"/>
    </row>
    <row r="697" spans="1:3" ht="12.75" x14ac:dyDescent="0.2">
      <c r="A697" s="1"/>
      <c r="B697" s="8"/>
      <c r="C697" s="1"/>
    </row>
    <row r="698" spans="1:3" ht="12.75" x14ac:dyDescent="0.2">
      <c r="A698" s="1"/>
      <c r="B698" s="8"/>
      <c r="C698" s="1"/>
    </row>
    <row r="699" spans="1:3" ht="12.75" x14ac:dyDescent="0.2">
      <c r="A699" s="1"/>
      <c r="B699" s="8"/>
      <c r="C699" s="1"/>
    </row>
    <row r="700" spans="1:3" ht="12.75" x14ac:dyDescent="0.2">
      <c r="A700" s="1"/>
      <c r="B700" s="8"/>
      <c r="C700" s="1"/>
    </row>
    <row r="701" spans="1:3" ht="12.75" x14ac:dyDescent="0.2">
      <c r="A701" s="1"/>
      <c r="B701" s="8"/>
      <c r="C701" s="1"/>
    </row>
    <row r="702" spans="1:3" ht="12.75" x14ac:dyDescent="0.2">
      <c r="A702" s="1"/>
      <c r="B702" s="8"/>
      <c r="C702" s="1"/>
    </row>
    <row r="703" spans="1:3" ht="12.75" x14ac:dyDescent="0.2">
      <c r="A703" s="1"/>
      <c r="B703" s="8"/>
      <c r="C703" s="1"/>
    </row>
    <row r="704" spans="1:3" ht="12.75" x14ac:dyDescent="0.2">
      <c r="A704" s="1"/>
      <c r="B704" s="8"/>
      <c r="C704" s="1"/>
    </row>
    <row r="705" spans="1:3" ht="12.75" x14ac:dyDescent="0.2">
      <c r="A705" s="1"/>
      <c r="B705" s="8"/>
      <c r="C705" s="1"/>
    </row>
    <row r="706" spans="1:3" ht="12.75" x14ac:dyDescent="0.2">
      <c r="A706" s="1"/>
      <c r="B706" s="8"/>
      <c r="C706" s="1"/>
    </row>
    <row r="707" spans="1:3" ht="12.75" x14ac:dyDescent="0.2">
      <c r="A707" s="1"/>
      <c r="B707" s="8"/>
      <c r="C707" s="1"/>
    </row>
    <row r="708" spans="1:3" ht="12.75" x14ac:dyDescent="0.2">
      <c r="A708" s="1"/>
      <c r="B708" s="8"/>
      <c r="C708" s="1"/>
    </row>
    <row r="709" spans="1:3" ht="12.75" x14ac:dyDescent="0.2">
      <c r="A709" s="1"/>
      <c r="B709" s="8"/>
      <c r="C709" s="1"/>
    </row>
    <row r="710" spans="1:3" ht="12.75" x14ac:dyDescent="0.2">
      <c r="A710" s="1"/>
      <c r="B710" s="8"/>
      <c r="C710" s="1"/>
    </row>
    <row r="711" spans="1:3" ht="12.75" x14ac:dyDescent="0.2">
      <c r="A711" s="1"/>
      <c r="B711" s="8"/>
      <c r="C711" s="1"/>
    </row>
    <row r="712" spans="1:3" ht="12.75" x14ac:dyDescent="0.2">
      <c r="A712" s="1"/>
      <c r="B712" s="8"/>
      <c r="C712" s="1"/>
    </row>
    <row r="713" spans="1:3" ht="12.75" x14ac:dyDescent="0.2">
      <c r="A713" s="1"/>
      <c r="B713" s="8"/>
      <c r="C713" s="1"/>
    </row>
    <row r="714" spans="1:3" ht="12.75" x14ac:dyDescent="0.2">
      <c r="A714" s="1"/>
      <c r="B714" s="8"/>
      <c r="C714" s="1"/>
    </row>
    <row r="715" spans="1:3" ht="12.75" x14ac:dyDescent="0.2">
      <c r="A715" s="1"/>
      <c r="B715" s="8"/>
      <c r="C715" s="1"/>
    </row>
    <row r="716" spans="1:3" ht="12.75" x14ac:dyDescent="0.2">
      <c r="A716" s="1"/>
      <c r="B716" s="8"/>
      <c r="C716" s="1"/>
    </row>
    <row r="717" spans="1:3" ht="12.75" x14ac:dyDescent="0.2">
      <c r="A717" s="1"/>
      <c r="B717" s="8"/>
      <c r="C717" s="1"/>
    </row>
    <row r="718" spans="1:3" ht="12.75" x14ac:dyDescent="0.2">
      <c r="A718" s="1"/>
      <c r="B718" s="8"/>
      <c r="C718" s="1"/>
    </row>
    <row r="719" spans="1:3" ht="12.75" x14ac:dyDescent="0.2">
      <c r="A719" s="1"/>
      <c r="B719" s="8"/>
      <c r="C719" s="1"/>
    </row>
    <row r="720" spans="1:3" ht="12.75" x14ac:dyDescent="0.2">
      <c r="A720" s="1"/>
      <c r="B720" s="8"/>
      <c r="C720" s="1"/>
    </row>
    <row r="721" spans="1:3" ht="12.75" x14ac:dyDescent="0.2">
      <c r="A721" s="1"/>
      <c r="B721" s="8"/>
      <c r="C721" s="1"/>
    </row>
    <row r="722" spans="1:3" ht="12.75" x14ac:dyDescent="0.2">
      <c r="A722" s="1"/>
      <c r="B722" s="8"/>
      <c r="C722" s="1"/>
    </row>
    <row r="723" spans="1:3" ht="12.75" x14ac:dyDescent="0.2">
      <c r="A723" s="1"/>
      <c r="B723" s="8"/>
      <c r="C723" s="1"/>
    </row>
    <row r="724" spans="1:3" ht="12.75" x14ac:dyDescent="0.2">
      <c r="A724" s="1"/>
      <c r="B724" s="8"/>
      <c r="C724" s="1"/>
    </row>
    <row r="725" spans="1:3" ht="12.75" x14ac:dyDescent="0.2">
      <c r="A725" s="1"/>
      <c r="B725" s="8"/>
      <c r="C725" s="1"/>
    </row>
    <row r="726" spans="1:3" ht="12.75" x14ac:dyDescent="0.2">
      <c r="A726" s="1"/>
      <c r="B726" s="8"/>
      <c r="C726" s="1"/>
    </row>
    <row r="727" spans="1:3" ht="12.75" x14ac:dyDescent="0.2">
      <c r="A727" s="1"/>
      <c r="B727" s="8"/>
      <c r="C727" s="1"/>
    </row>
    <row r="728" spans="1:3" ht="12.75" x14ac:dyDescent="0.2">
      <c r="A728" s="1"/>
      <c r="B728" s="8"/>
      <c r="C728" s="1"/>
    </row>
    <row r="729" spans="1:3" ht="12.75" x14ac:dyDescent="0.2">
      <c r="A729" s="1"/>
      <c r="B729" s="8"/>
      <c r="C729" s="1"/>
    </row>
    <row r="730" spans="1:3" ht="12.75" x14ac:dyDescent="0.2">
      <c r="A730" s="1"/>
      <c r="B730" s="8"/>
      <c r="C730" s="1"/>
    </row>
    <row r="731" spans="1:3" ht="12.75" x14ac:dyDescent="0.2">
      <c r="A731" s="1"/>
      <c r="B731" s="8"/>
      <c r="C731" s="1"/>
    </row>
    <row r="732" spans="1:3" ht="12.75" x14ac:dyDescent="0.2">
      <c r="A732" s="1"/>
      <c r="B732" s="8"/>
      <c r="C732" s="1"/>
    </row>
    <row r="733" spans="1:3" ht="12.75" x14ac:dyDescent="0.2">
      <c r="A733" s="1"/>
      <c r="B733" s="8"/>
      <c r="C733" s="1"/>
    </row>
    <row r="734" spans="1:3" ht="12.75" x14ac:dyDescent="0.2">
      <c r="A734" s="1"/>
      <c r="B734" s="8"/>
      <c r="C734" s="1"/>
    </row>
    <row r="735" spans="1:3" ht="12.75" x14ac:dyDescent="0.2">
      <c r="A735" s="1"/>
      <c r="B735" s="8"/>
      <c r="C735" s="1"/>
    </row>
    <row r="736" spans="1:3" ht="12.75" x14ac:dyDescent="0.2">
      <c r="A736" s="1"/>
      <c r="B736" s="8"/>
      <c r="C736" s="1"/>
    </row>
    <row r="737" spans="1:3" ht="12.75" x14ac:dyDescent="0.2">
      <c r="A737" s="1"/>
      <c r="B737" s="8"/>
      <c r="C737" s="1"/>
    </row>
    <row r="738" spans="1:3" ht="12.75" x14ac:dyDescent="0.2">
      <c r="A738" s="1"/>
      <c r="B738" s="8"/>
      <c r="C738" s="1"/>
    </row>
    <row r="739" spans="1:3" ht="12.75" x14ac:dyDescent="0.2">
      <c r="A739" s="1"/>
      <c r="B739" s="8"/>
      <c r="C739" s="1"/>
    </row>
    <row r="740" spans="1:3" ht="12.75" x14ac:dyDescent="0.2">
      <c r="A740" s="1"/>
      <c r="B740" s="8"/>
      <c r="C740" s="1"/>
    </row>
    <row r="741" spans="1:3" ht="12.75" x14ac:dyDescent="0.2">
      <c r="A741" s="1"/>
      <c r="B741" s="8"/>
      <c r="C741" s="1"/>
    </row>
    <row r="742" spans="1:3" ht="12.75" x14ac:dyDescent="0.2">
      <c r="A742" s="1"/>
      <c r="B742" s="8"/>
      <c r="C742" s="1"/>
    </row>
    <row r="743" spans="1:3" ht="12.75" x14ac:dyDescent="0.2">
      <c r="A743" s="1"/>
      <c r="B743" s="8"/>
      <c r="C743" s="1"/>
    </row>
    <row r="744" spans="1:3" ht="12.75" x14ac:dyDescent="0.2">
      <c r="A744" s="1"/>
      <c r="B744" s="8"/>
      <c r="C744" s="1"/>
    </row>
    <row r="745" spans="1:3" ht="12.75" x14ac:dyDescent="0.2">
      <c r="A745" s="1"/>
      <c r="B745" s="8"/>
      <c r="C745" s="1"/>
    </row>
    <row r="746" spans="1:3" ht="12.75" x14ac:dyDescent="0.2">
      <c r="A746" s="1"/>
      <c r="B746" s="8"/>
      <c r="C746" s="1"/>
    </row>
    <row r="747" spans="1:3" ht="12.75" x14ac:dyDescent="0.2">
      <c r="A747" s="1"/>
      <c r="B747" s="8"/>
      <c r="C747" s="1"/>
    </row>
    <row r="748" spans="1:3" ht="12.75" x14ac:dyDescent="0.2">
      <c r="A748" s="1"/>
      <c r="B748" s="8"/>
      <c r="C748" s="1"/>
    </row>
    <row r="749" spans="1:3" ht="12.75" x14ac:dyDescent="0.2">
      <c r="A749" s="1"/>
      <c r="B749" s="8"/>
      <c r="C749" s="1"/>
    </row>
    <row r="750" spans="1:3" ht="12.75" x14ac:dyDescent="0.2">
      <c r="A750" s="1"/>
      <c r="B750" s="8"/>
      <c r="C750" s="1"/>
    </row>
    <row r="751" spans="1:3" ht="12.75" x14ac:dyDescent="0.2">
      <c r="A751" s="1"/>
      <c r="B751" s="8"/>
      <c r="C751" s="1"/>
    </row>
    <row r="752" spans="1:3" ht="12.75" x14ac:dyDescent="0.2">
      <c r="A752" s="1"/>
      <c r="B752" s="8"/>
      <c r="C752" s="1"/>
    </row>
    <row r="753" spans="1:3" ht="12.75" x14ac:dyDescent="0.2">
      <c r="A753" s="1"/>
      <c r="B753" s="8"/>
      <c r="C753" s="1"/>
    </row>
    <row r="754" spans="1:3" ht="12.75" x14ac:dyDescent="0.2">
      <c r="A754" s="1"/>
      <c r="B754" s="8"/>
      <c r="C754" s="1"/>
    </row>
    <row r="755" spans="1:3" ht="12.75" x14ac:dyDescent="0.2">
      <c r="A755" s="1"/>
      <c r="B755" s="8"/>
      <c r="C755" s="1"/>
    </row>
    <row r="756" spans="1:3" ht="12.75" x14ac:dyDescent="0.2">
      <c r="A756" s="1"/>
      <c r="B756" s="8"/>
      <c r="C756" s="1"/>
    </row>
    <row r="757" spans="1:3" ht="12.75" x14ac:dyDescent="0.2">
      <c r="A757" s="1"/>
      <c r="B757" s="8"/>
      <c r="C757" s="1"/>
    </row>
    <row r="758" spans="1:3" ht="12.75" x14ac:dyDescent="0.2">
      <c r="A758" s="1"/>
      <c r="B758" s="8"/>
      <c r="C758" s="1"/>
    </row>
    <row r="759" spans="1:3" ht="12.75" x14ac:dyDescent="0.2">
      <c r="A759" s="1"/>
      <c r="B759" s="8"/>
      <c r="C759" s="1"/>
    </row>
    <row r="760" spans="1:3" ht="12.75" x14ac:dyDescent="0.2">
      <c r="A760" s="1"/>
      <c r="B760" s="8"/>
      <c r="C760" s="1"/>
    </row>
    <row r="761" spans="1:3" ht="12.75" x14ac:dyDescent="0.2">
      <c r="A761" s="1"/>
      <c r="B761" s="8"/>
      <c r="C761" s="1"/>
    </row>
    <row r="762" spans="1:3" ht="12.75" x14ac:dyDescent="0.2">
      <c r="A762" s="1"/>
      <c r="B762" s="8"/>
      <c r="C762" s="1"/>
    </row>
    <row r="763" spans="1:3" ht="12.75" x14ac:dyDescent="0.2">
      <c r="A763" s="1"/>
      <c r="B763" s="8"/>
      <c r="C763" s="1"/>
    </row>
    <row r="764" spans="1:3" ht="12.75" x14ac:dyDescent="0.2">
      <c r="A764" s="1"/>
      <c r="B764" s="8"/>
      <c r="C764" s="1"/>
    </row>
    <row r="765" spans="1:3" ht="12.75" x14ac:dyDescent="0.2">
      <c r="A765" s="1"/>
      <c r="B765" s="8"/>
      <c r="C765" s="1"/>
    </row>
    <row r="766" spans="1:3" ht="12.75" x14ac:dyDescent="0.2">
      <c r="A766" s="1"/>
      <c r="B766" s="8"/>
      <c r="C766" s="1"/>
    </row>
    <row r="767" spans="1:3" ht="12.75" x14ac:dyDescent="0.2">
      <c r="A767" s="1"/>
      <c r="B767" s="8"/>
      <c r="C767" s="1"/>
    </row>
    <row r="768" spans="1:3" ht="12.75" x14ac:dyDescent="0.2">
      <c r="A768" s="1"/>
      <c r="B768" s="8"/>
      <c r="C768" s="1"/>
    </row>
    <row r="769" spans="1:3" ht="12.75" x14ac:dyDescent="0.2">
      <c r="A769" s="1"/>
      <c r="B769" s="8"/>
      <c r="C769" s="1"/>
    </row>
    <row r="770" spans="1:3" ht="12.75" x14ac:dyDescent="0.2">
      <c r="A770" s="1"/>
      <c r="B770" s="8"/>
      <c r="C770" s="1"/>
    </row>
    <row r="771" spans="1:3" ht="12.75" x14ac:dyDescent="0.2">
      <c r="A771" s="1"/>
      <c r="B771" s="8"/>
      <c r="C771" s="1"/>
    </row>
    <row r="772" spans="1:3" ht="12.75" x14ac:dyDescent="0.2">
      <c r="A772" s="1"/>
      <c r="B772" s="8"/>
      <c r="C772" s="1"/>
    </row>
    <row r="773" spans="1:3" ht="12.75" x14ac:dyDescent="0.2">
      <c r="A773" s="1"/>
      <c r="B773" s="8"/>
      <c r="C773" s="1"/>
    </row>
    <row r="774" spans="1:3" ht="12.75" x14ac:dyDescent="0.2">
      <c r="A774" s="1"/>
      <c r="B774" s="8"/>
      <c r="C774" s="1"/>
    </row>
    <row r="775" spans="1:3" ht="12.75" x14ac:dyDescent="0.2">
      <c r="A775" s="1"/>
      <c r="B775" s="8"/>
      <c r="C775" s="1"/>
    </row>
    <row r="776" spans="1:3" ht="12.75" x14ac:dyDescent="0.2">
      <c r="A776" s="1"/>
      <c r="B776" s="8"/>
      <c r="C776" s="1"/>
    </row>
    <row r="777" spans="1:3" ht="12.75" x14ac:dyDescent="0.2">
      <c r="A777" s="1"/>
      <c r="B777" s="8"/>
      <c r="C777" s="1"/>
    </row>
    <row r="778" spans="1:3" ht="12.75" x14ac:dyDescent="0.2">
      <c r="A778" s="1"/>
      <c r="B778" s="8"/>
      <c r="C778" s="1"/>
    </row>
    <row r="779" spans="1:3" ht="12.75" x14ac:dyDescent="0.2">
      <c r="A779" s="1"/>
      <c r="B779" s="8"/>
      <c r="C779" s="1"/>
    </row>
    <row r="780" spans="1:3" ht="12.75" x14ac:dyDescent="0.2">
      <c r="A780" s="1"/>
      <c r="B780" s="8"/>
      <c r="C780" s="1"/>
    </row>
    <row r="781" spans="1:3" ht="12.75" x14ac:dyDescent="0.2">
      <c r="A781" s="1"/>
      <c r="B781" s="8"/>
      <c r="C781" s="1"/>
    </row>
    <row r="782" spans="1:3" ht="12.75" x14ac:dyDescent="0.2">
      <c r="A782" s="1"/>
      <c r="B782" s="8"/>
      <c r="C782" s="1"/>
    </row>
    <row r="783" spans="1:3" ht="12.75" x14ac:dyDescent="0.2">
      <c r="A783" s="1"/>
      <c r="B783" s="8"/>
      <c r="C783" s="1"/>
    </row>
    <row r="784" spans="1:3" ht="12.75" x14ac:dyDescent="0.2">
      <c r="A784" s="1"/>
      <c r="B784" s="8"/>
      <c r="C784" s="1"/>
    </row>
    <row r="785" spans="1:3" ht="12.75" x14ac:dyDescent="0.2">
      <c r="A785" s="1"/>
      <c r="B785" s="8"/>
      <c r="C785" s="1"/>
    </row>
    <row r="786" spans="1:3" ht="12.75" x14ac:dyDescent="0.2">
      <c r="A786" s="1"/>
      <c r="B786" s="8"/>
      <c r="C786" s="1"/>
    </row>
    <row r="787" spans="1:3" ht="12.75" x14ac:dyDescent="0.2">
      <c r="A787" s="1"/>
      <c r="B787" s="8"/>
      <c r="C787" s="1"/>
    </row>
    <row r="788" spans="1:3" ht="12.75" x14ac:dyDescent="0.2">
      <c r="A788" s="1"/>
      <c r="B788" s="8"/>
      <c r="C788" s="1"/>
    </row>
    <row r="789" spans="1:3" ht="12.75" x14ac:dyDescent="0.2">
      <c r="A789" s="1"/>
      <c r="B789" s="8"/>
      <c r="C789" s="1"/>
    </row>
    <row r="790" spans="1:3" ht="12.75" x14ac:dyDescent="0.2">
      <c r="A790" s="1"/>
      <c r="B790" s="8"/>
      <c r="C790" s="1"/>
    </row>
    <row r="791" spans="1:3" ht="12.75" x14ac:dyDescent="0.2">
      <c r="A791" s="1"/>
      <c r="B791" s="8"/>
      <c r="C791" s="1"/>
    </row>
    <row r="792" spans="1:3" ht="12.75" x14ac:dyDescent="0.2">
      <c r="A792" s="1"/>
      <c r="B792" s="8"/>
      <c r="C792" s="1"/>
    </row>
    <row r="793" spans="1:3" ht="12.75" x14ac:dyDescent="0.2">
      <c r="A793" s="1"/>
      <c r="B793" s="8"/>
      <c r="C793" s="1"/>
    </row>
    <row r="794" spans="1:3" ht="12.75" x14ac:dyDescent="0.2">
      <c r="A794" s="1"/>
      <c r="B794" s="8"/>
      <c r="C794" s="1"/>
    </row>
    <row r="795" spans="1:3" ht="12.75" x14ac:dyDescent="0.2">
      <c r="A795" s="1"/>
      <c r="B795" s="8"/>
      <c r="C795" s="1"/>
    </row>
    <row r="796" spans="1:3" ht="12.75" x14ac:dyDescent="0.2">
      <c r="A796" s="1"/>
      <c r="B796" s="8"/>
      <c r="C796" s="1"/>
    </row>
    <row r="797" spans="1:3" ht="12.75" x14ac:dyDescent="0.2">
      <c r="A797" s="1"/>
      <c r="B797" s="8"/>
      <c r="C797" s="1"/>
    </row>
    <row r="798" spans="1:3" ht="12.75" x14ac:dyDescent="0.2">
      <c r="A798" s="1"/>
      <c r="B798" s="8"/>
      <c r="C798" s="1"/>
    </row>
    <row r="799" spans="1:3" ht="12.75" x14ac:dyDescent="0.2">
      <c r="A799" s="1"/>
      <c r="B799" s="8"/>
      <c r="C799" s="1"/>
    </row>
    <row r="800" spans="1:3" ht="12.75" x14ac:dyDescent="0.2">
      <c r="A800" s="1"/>
      <c r="B800" s="8"/>
      <c r="C800" s="1"/>
    </row>
    <row r="801" spans="1:3" ht="12.75" x14ac:dyDescent="0.2">
      <c r="A801" s="1"/>
      <c r="B801" s="8"/>
      <c r="C801" s="1"/>
    </row>
    <row r="802" spans="1:3" ht="12.75" x14ac:dyDescent="0.2">
      <c r="A802" s="1"/>
      <c r="B802" s="8"/>
      <c r="C802" s="1"/>
    </row>
    <row r="803" spans="1:3" ht="12.75" x14ac:dyDescent="0.2">
      <c r="A803" s="1"/>
      <c r="B803" s="8"/>
      <c r="C803" s="1"/>
    </row>
    <row r="804" spans="1:3" ht="12.75" x14ac:dyDescent="0.2">
      <c r="A804" s="1"/>
      <c r="B804" s="8"/>
      <c r="C804" s="1"/>
    </row>
    <row r="805" spans="1:3" ht="12.75" x14ac:dyDescent="0.2">
      <c r="A805" s="1"/>
      <c r="B805" s="8"/>
      <c r="C805" s="1"/>
    </row>
    <row r="806" spans="1:3" ht="12.75" x14ac:dyDescent="0.2">
      <c r="A806" s="1"/>
      <c r="B806" s="8"/>
      <c r="C806" s="1"/>
    </row>
    <row r="807" spans="1:3" ht="12.75" x14ac:dyDescent="0.2">
      <c r="A807" s="1"/>
      <c r="B807" s="8"/>
      <c r="C807" s="1"/>
    </row>
    <row r="808" spans="1:3" ht="12.75" x14ac:dyDescent="0.2">
      <c r="A808" s="1"/>
      <c r="B808" s="8"/>
      <c r="C808" s="1"/>
    </row>
    <row r="809" spans="1:3" ht="12.75" x14ac:dyDescent="0.2">
      <c r="A809" s="1"/>
      <c r="B809" s="8"/>
      <c r="C809" s="1"/>
    </row>
    <row r="810" spans="1:3" ht="12.75" x14ac:dyDescent="0.2">
      <c r="A810" s="1"/>
      <c r="B810" s="8"/>
      <c r="C810" s="1"/>
    </row>
    <row r="811" spans="1:3" ht="12.75" x14ac:dyDescent="0.2">
      <c r="A811" s="1"/>
      <c r="B811" s="8"/>
      <c r="C811" s="1"/>
    </row>
    <row r="812" spans="1:3" ht="12.75" x14ac:dyDescent="0.2">
      <c r="A812" s="1"/>
      <c r="B812" s="8"/>
      <c r="C812" s="1"/>
    </row>
    <row r="813" spans="1:3" ht="12.75" x14ac:dyDescent="0.2">
      <c r="A813" s="1"/>
      <c r="B813" s="8"/>
      <c r="C813" s="1"/>
    </row>
    <row r="814" spans="1:3" ht="12.75" x14ac:dyDescent="0.2">
      <c r="A814" s="1"/>
      <c r="B814" s="8"/>
      <c r="C814" s="1"/>
    </row>
    <row r="815" spans="1:3" ht="12.75" x14ac:dyDescent="0.2">
      <c r="A815" s="1"/>
      <c r="B815" s="8"/>
      <c r="C815" s="1"/>
    </row>
    <row r="816" spans="1:3" ht="12.75" x14ac:dyDescent="0.2">
      <c r="A816" s="1"/>
      <c r="B816" s="8"/>
      <c r="C816" s="1"/>
    </row>
    <row r="817" spans="1:3" ht="12.75" x14ac:dyDescent="0.2">
      <c r="A817" s="1"/>
      <c r="B817" s="8"/>
      <c r="C817" s="1"/>
    </row>
    <row r="818" spans="1:3" ht="12.75" x14ac:dyDescent="0.2">
      <c r="A818" s="1"/>
      <c r="B818" s="8"/>
      <c r="C818" s="1"/>
    </row>
    <row r="819" spans="1:3" ht="12.75" x14ac:dyDescent="0.2">
      <c r="A819" s="1"/>
      <c r="B819" s="8"/>
      <c r="C819" s="1"/>
    </row>
    <row r="820" spans="1:3" ht="12.75" x14ac:dyDescent="0.2">
      <c r="A820" s="1"/>
      <c r="B820" s="8"/>
      <c r="C820" s="1"/>
    </row>
    <row r="821" spans="1:3" ht="12.75" x14ac:dyDescent="0.2">
      <c r="A821" s="1"/>
      <c r="B821" s="8"/>
      <c r="C821" s="1"/>
    </row>
    <row r="822" spans="1:3" ht="12.75" x14ac:dyDescent="0.2">
      <c r="A822" s="1"/>
      <c r="B822" s="8"/>
      <c r="C822" s="1"/>
    </row>
    <row r="823" spans="1:3" ht="12.75" x14ac:dyDescent="0.2">
      <c r="A823" s="1"/>
      <c r="B823" s="8"/>
      <c r="C823" s="1"/>
    </row>
    <row r="824" spans="1:3" ht="12.75" x14ac:dyDescent="0.2">
      <c r="A824" s="1"/>
      <c r="B824" s="8"/>
      <c r="C824" s="1"/>
    </row>
    <row r="825" spans="1:3" ht="12.75" x14ac:dyDescent="0.2">
      <c r="A825" s="1"/>
      <c r="B825" s="8"/>
      <c r="C825" s="1"/>
    </row>
    <row r="826" spans="1:3" ht="12.75" x14ac:dyDescent="0.2">
      <c r="A826" s="1"/>
      <c r="B826" s="8"/>
      <c r="C826" s="1"/>
    </row>
    <row r="827" spans="1:3" ht="12.75" x14ac:dyDescent="0.2">
      <c r="A827" s="1"/>
      <c r="B827" s="8"/>
      <c r="C827" s="1"/>
    </row>
    <row r="828" spans="1:3" ht="12.75" x14ac:dyDescent="0.2">
      <c r="A828" s="1"/>
      <c r="B828" s="8"/>
      <c r="C828" s="1"/>
    </row>
    <row r="829" spans="1:3" ht="12.75" x14ac:dyDescent="0.2">
      <c r="A829" s="1"/>
      <c r="B829" s="8"/>
      <c r="C829" s="1"/>
    </row>
    <row r="830" spans="1:3" ht="12.75" x14ac:dyDescent="0.2">
      <c r="A830" s="1"/>
      <c r="B830" s="8"/>
      <c r="C830" s="1"/>
    </row>
    <row r="831" spans="1:3" ht="12.75" x14ac:dyDescent="0.2">
      <c r="A831" s="1"/>
      <c r="B831" s="8"/>
      <c r="C831" s="1"/>
    </row>
    <row r="832" spans="1:3" ht="12.75" x14ac:dyDescent="0.2">
      <c r="A832" s="1"/>
      <c r="B832" s="8"/>
      <c r="C832" s="1"/>
    </row>
    <row r="833" spans="1:3" ht="12.75" x14ac:dyDescent="0.2">
      <c r="A833" s="1"/>
      <c r="B833" s="8"/>
      <c r="C833" s="1"/>
    </row>
    <row r="834" spans="1:3" ht="12.75" x14ac:dyDescent="0.2">
      <c r="A834" s="1"/>
      <c r="B834" s="8"/>
      <c r="C834" s="1"/>
    </row>
    <row r="835" spans="1:3" ht="12.75" x14ac:dyDescent="0.2">
      <c r="A835" s="1"/>
      <c r="B835" s="8"/>
      <c r="C835" s="1"/>
    </row>
    <row r="836" spans="1:3" ht="12.75" x14ac:dyDescent="0.2">
      <c r="A836" s="1"/>
      <c r="B836" s="8"/>
      <c r="C836" s="1"/>
    </row>
    <row r="837" spans="1:3" ht="12.75" x14ac:dyDescent="0.2">
      <c r="A837" s="1"/>
      <c r="B837" s="8"/>
      <c r="C837" s="1"/>
    </row>
    <row r="838" spans="1:3" ht="12.75" x14ac:dyDescent="0.2">
      <c r="A838" s="1"/>
      <c r="B838" s="8"/>
      <c r="C838" s="1"/>
    </row>
    <row r="839" spans="1:3" ht="12.75" x14ac:dyDescent="0.2">
      <c r="A839" s="1"/>
      <c r="B839" s="8"/>
      <c r="C839" s="1"/>
    </row>
    <row r="840" spans="1:3" ht="12.75" x14ac:dyDescent="0.2">
      <c r="A840" s="1"/>
      <c r="B840" s="8"/>
      <c r="C840" s="1"/>
    </row>
    <row r="841" spans="1:3" ht="12.75" x14ac:dyDescent="0.2">
      <c r="A841" s="1"/>
      <c r="B841" s="8"/>
      <c r="C841" s="1"/>
    </row>
    <row r="842" spans="1:3" ht="12.75" x14ac:dyDescent="0.2">
      <c r="A842" s="1"/>
      <c r="B842" s="8"/>
      <c r="C842" s="1"/>
    </row>
    <row r="843" spans="1:3" ht="12.75" x14ac:dyDescent="0.2">
      <c r="A843" s="1"/>
      <c r="B843" s="8"/>
      <c r="C843" s="1"/>
    </row>
    <row r="844" spans="1:3" ht="12.75" x14ac:dyDescent="0.2">
      <c r="A844" s="1"/>
      <c r="B844" s="8"/>
      <c r="C844" s="1"/>
    </row>
    <row r="845" spans="1:3" ht="12.75" x14ac:dyDescent="0.2">
      <c r="A845" s="1"/>
      <c r="B845" s="8"/>
      <c r="C845" s="1"/>
    </row>
    <row r="846" spans="1:3" ht="12.75" x14ac:dyDescent="0.2">
      <c r="A846" s="1"/>
      <c r="B846" s="8"/>
      <c r="C846" s="1"/>
    </row>
    <row r="847" spans="1:3" ht="12.75" x14ac:dyDescent="0.2">
      <c r="A847" s="1"/>
      <c r="B847" s="8"/>
      <c r="C847" s="1"/>
    </row>
    <row r="848" spans="1:3" ht="12.75" x14ac:dyDescent="0.2">
      <c r="A848" s="1"/>
      <c r="B848" s="8"/>
      <c r="C848" s="1"/>
    </row>
    <row r="849" spans="1:3" ht="12.75" x14ac:dyDescent="0.2">
      <c r="A849" s="1"/>
      <c r="B849" s="8"/>
      <c r="C849" s="1"/>
    </row>
    <row r="850" spans="1:3" ht="12.75" x14ac:dyDescent="0.2">
      <c r="A850" s="1"/>
      <c r="B850" s="8"/>
      <c r="C850" s="1"/>
    </row>
    <row r="851" spans="1:3" ht="12.75" x14ac:dyDescent="0.2">
      <c r="A851" s="1"/>
      <c r="B851" s="8"/>
      <c r="C851" s="1"/>
    </row>
    <row r="852" spans="1:3" ht="12.75" x14ac:dyDescent="0.2">
      <c r="A852" s="1"/>
      <c r="B852" s="8"/>
      <c r="C852" s="1"/>
    </row>
    <row r="853" spans="1:3" ht="12.75" x14ac:dyDescent="0.2">
      <c r="A853" s="1"/>
      <c r="B853" s="8"/>
      <c r="C853" s="1"/>
    </row>
    <row r="854" spans="1:3" ht="12.75" x14ac:dyDescent="0.2">
      <c r="A854" s="1"/>
      <c r="B854" s="8"/>
      <c r="C854" s="1"/>
    </row>
    <row r="855" spans="1:3" ht="12.75" x14ac:dyDescent="0.2">
      <c r="A855" s="1"/>
      <c r="B855" s="8"/>
      <c r="C855" s="1"/>
    </row>
    <row r="856" spans="1:3" ht="12.75" x14ac:dyDescent="0.2">
      <c r="A856" s="1"/>
      <c r="B856" s="8"/>
      <c r="C856" s="1"/>
    </row>
    <row r="857" spans="1:3" ht="12.75" x14ac:dyDescent="0.2">
      <c r="A857" s="1"/>
      <c r="B857" s="8"/>
      <c r="C857" s="1"/>
    </row>
    <row r="858" spans="1:3" ht="12.75" x14ac:dyDescent="0.2">
      <c r="A858" s="1"/>
      <c r="B858" s="8"/>
      <c r="C858" s="1"/>
    </row>
    <row r="859" spans="1:3" ht="12.75" x14ac:dyDescent="0.2">
      <c r="A859" s="1"/>
      <c r="B859" s="8"/>
      <c r="C859" s="1"/>
    </row>
    <row r="860" spans="1:3" ht="12.75" x14ac:dyDescent="0.2">
      <c r="A860" s="1"/>
      <c r="B860" s="8"/>
      <c r="C860" s="1"/>
    </row>
    <row r="861" spans="1:3" ht="12.75" x14ac:dyDescent="0.2">
      <c r="A861" s="1"/>
      <c r="B861" s="8"/>
      <c r="C861" s="1"/>
    </row>
    <row r="862" spans="1:3" ht="12.75" x14ac:dyDescent="0.2">
      <c r="A862" s="1"/>
      <c r="B862" s="8"/>
      <c r="C862" s="1"/>
    </row>
    <row r="863" spans="1:3" ht="12.75" x14ac:dyDescent="0.2">
      <c r="A863" s="1"/>
      <c r="B863" s="8"/>
      <c r="C863" s="1"/>
    </row>
    <row r="864" spans="1:3" ht="12.75" x14ac:dyDescent="0.2">
      <c r="A864" s="1"/>
      <c r="B864" s="8"/>
      <c r="C864" s="1"/>
    </row>
    <row r="865" spans="1:3" ht="12.75" x14ac:dyDescent="0.2">
      <c r="A865" s="1"/>
      <c r="B865" s="8"/>
      <c r="C865" s="1"/>
    </row>
    <row r="866" spans="1:3" ht="12.75" x14ac:dyDescent="0.2">
      <c r="A866" s="1"/>
      <c r="B866" s="8"/>
      <c r="C866" s="1"/>
    </row>
    <row r="867" spans="1:3" ht="12.75" x14ac:dyDescent="0.2">
      <c r="A867" s="1"/>
      <c r="B867" s="8"/>
      <c r="C867" s="1"/>
    </row>
    <row r="868" spans="1:3" ht="12.75" x14ac:dyDescent="0.2">
      <c r="A868" s="1"/>
      <c r="B868" s="8"/>
      <c r="C868" s="1"/>
    </row>
    <row r="869" spans="1:3" ht="12.75" x14ac:dyDescent="0.2">
      <c r="A869" s="1"/>
      <c r="B869" s="8"/>
      <c r="C869" s="1"/>
    </row>
    <row r="870" spans="1:3" ht="12.75" x14ac:dyDescent="0.2">
      <c r="A870" s="1"/>
      <c r="B870" s="8"/>
      <c r="C870" s="1"/>
    </row>
    <row r="871" spans="1:3" ht="12.75" x14ac:dyDescent="0.2">
      <c r="A871" s="1"/>
      <c r="B871" s="8"/>
      <c r="C871" s="1"/>
    </row>
    <row r="872" spans="1:3" ht="12.75" x14ac:dyDescent="0.2">
      <c r="A872" s="1"/>
      <c r="B872" s="8"/>
      <c r="C872" s="1"/>
    </row>
    <row r="873" spans="1:3" ht="12.75" x14ac:dyDescent="0.2">
      <c r="A873" s="1"/>
      <c r="B873" s="8"/>
      <c r="C873" s="1"/>
    </row>
    <row r="874" spans="1:3" ht="12.75" x14ac:dyDescent="0.2">
      <c r="A874" s="1"/>
      <c r="B874" s="8"/>
      <c r="C874" s="1"/>
    </row>
    <row r="875" spans="1:3" ht="12.75" x14ac:dyDescent="0.2">
      <c r="A875" s="1"/>
      <c r="B875" s="8"/>
      <c r="C875" s="1"/>
    </row>
    <row r="876" spans="1:3" ht="12.75" x14ac:dyDescent="0.2">
      <c r="A876" s="1"/>
      <c r="B876" s="8"/>
      <c r="C876" s="1"/>
    </row>
    <row r="877" spans="1:3" ht="12.75" x14ac:dyDescent="0.2">
      <c r="A877" s="1"/>
      <c r="B877" s="8"/>
      <c r="C877" s="1"/>
    </row>
    <row r="878" spans="1:3" ht="12.75" x14ac:dyDescent="0.2">
      <c r="A878" s="1"/>
      <c r="B878" s="8"/>
      <c r="C878" s="1"/>
    </row>
    <row r="879" spans="1:3" ht="12.75" x14ac:dyDescent="0.2">
      <c r="A879" s="1"/>
      <c r="B879" s="8"/>
      <c r="C879" s="1"/>
    </row>
    <row r="880" spans="1:3" ht="12.75" x14ac:dyDescent="0.2">
      <c r="A880" s="1"/>
      <c r="B880" s="8"/>
      <c r="C880" s="1"/>
    </row>
    <row r="881" spans="1:3" ht="12.75" x14ac:dyDescent="0.2">
      <c r="A881" s="1"/>
      <c r="B881" s="8"/>
      <c r="C881" s="1"/>
    </row>
    <row r="882" spans="1:3" ht="12.75" x14ac:dyDescent="0.2">
      <c r="A882" s="1"/>
      <c r="B882" s="8"/>
      <c r="C882" s="1"/>
    </row>
    <row r="883" spans="1:3" ht="12.75" x14ac:dyDescent="0.2">
      <c r="A883" s="1"/>
      <c r="B883" s="8"/>
      <c r="C883" s="1"/>
    </row>
    <row r="884" spans="1:3" ht="12.75" x14ac:dyDescent="0.2">
      <c r="A884" s="1"/>
      <c r="B884" s="8"/>
      <c r="C884" s="1"/>
    </row>
    <row r="885" spans="1:3" ht="12.75" x14ac:dyDescent="0.2">
      <c r="A885" s="1"/>
      <c r="B885" s="8"/>
      <c r="C885" s="1"/>
    </row>
    <row r="886" spans="1:3" ht="12.75" x14ac:dyDescent="0.2">
      <c r="A886" s="1"/>
      <c r="B886" s="8"/>
      <c r="C886" s="1"/>
    </row>
    <row r="887" spans="1:3" ht="12.75" x14ac:dyDescent="0.2">
      <c r="A887" s="1"/>
      <c r="B887" s="8"/>
      <c r="C887" s="1"/>
    </row>
    <row r="888" spans="1:3" ht="12.75" x14ac:dyDescent="0.2">
      <c r="A888" s="1"/>
      <c r="B888" s="8"/>
      <c r="C888" s="1"/>
    </row>
    <row r="889" spans="1:3" ht="12.75" x14ac:dyDescent="0.2">
      <c r="A889" s="1"/>
      <c r="B889" s="8"/>
      <c r="C889" s="1"/>
    </row>
    <row r="890" spans="1:3" ht="12.75" x14ac:dyDescent="0.2">
      <c r="A890" s="1"/>
      <c r="B890" s="8"/>
      <c r="C890" s="1"/>
    </row>
    <row r="891" spans="1:3" ht="12.75" x14ac:dyDescent="0.2">
      <c r="A891" s="1"/>
      <c r="B891" s="8"/>
      <c r="C891" s="1"/>
    </row>
    <row r="892" spans="1:3" ht="12.75" x14ac:dyDescent="0.2">
      <c r="A892" s="1"/>
      <c r="B892" s="8"/>
      <c r="C892" s="1"/>
    </row>
    <row r="893" spans="1:3" ht="12.75" x14ac:dyDescent="0.2">
      <c r="A893" s="1"/>
      <c r="B893" s="8"/>
      <c r="C893" s="1"/>
    </row>
    <row r="894" spans="1:3" ht="12.75" x14ac:dyDescent="0.2">
      <c r="A894" s="1"/>
      <c r="B894" s="8"/>
      <c r="C894" s="1"/>
    </row>
    <row r="895" spans="1:3" ht="12.75" x14ac:dyDescent="0.2">
      <c r="A895" s="1"/>
      <c r="B895" s="8"/>
      <c r="C895" s="1"/>
    </row>
    <row r="896" spans="1:3" ht="12.75" x14ac:dyDescent="0.2">
      <c r="A896" s="1"/>
      <c r="B896" s="8"/>
      <c r="C896" s="1"/>
    </row>
    <row r="897" spans="1:3" ht="12.75" x14ac:dyDescent="0.2">
      <c r="A897" s="1"/>
      <c r="B897" s="8"/>
      <c r="C897" s="1"/>
    </row>
    <row r="898" spans="1:3" ht="12.75" x14ac:dyDescent="0.2">
      <c r="A898" s="1"/>
      <c r="B898" s="8"/>
      <c r="C898" s="1"/>
    </row>
    <row r="899" spans="1:3" ht="12.75" x14ac:dyDescent="0.2">
      <c r="A899" s="1"/>
      <c r="B899" s="8"/>
      <c r="C899" s="1"/>
    </row>
    <row r="900" spans="1:3" ht="12.75" x14ac:dyDescent="0.2">
      <c r="A900" s="1"/>
      <c r="B900" s="8"/>
      <c r="C900" s="1"/>
    </row>
    <row r="901" spans="1:3" ht="12.75" x14ac:dyDescent="0.2">
      <c r="A901" s="1"/>
      <c r="B901" s="8"/>
      <c r="C901" s="1"/>
    </row>
    <row r="902" spans="1:3" ht="12.75" x14ac:dyDescent="0.2">
      <c r="A902" s="1"/>
      <c r="B902" s="8"/>
      <c r="C902" s="1"/>
    </row>
    <row r="903" spans="1:3" ht="12.75" x14ac:dyDescent="0.2">
      <c r="A903" s="1"/>
      <c r="B903" s="8"/>
      <c r="C903" s="1"/>
    </row>
    <row r="904" spans="1:3" ht="12.75" x14ac:dyDescent="0.2">
      <c r="A904" s="1"/>
      <c r="B904" s="8"/>
      <c r="C904" s="1"/>
    </row>
    <row r="905" spans="1:3" ht="12.75" x14ac:dyDescent="0.2">
      <c r="A905" s="1"/>
      <c r="B905" s="8"/>
      <c r="C905" s="1"/>
    </row>
    <row r="906" spans="1:3" ht="12.75" x14ac:dyDescent="0.2">
      <c r="A906" s="1"/>
      <c r="B906" s="8"/>
      <c r="C906" s="1"/>
    </row>
    <row r="907" spans="1:3" ht="12.75" x14ac:dyDescent="0.2">
      <c r="A907" s="1"/>
      <c r="B907" s="8"/>
      <c r="C907" s="1"/>
    </row>
    <row r="908" spans="1:3" ht="12.75" x14ac:dyDescent="0.2">
      <c r="A908" s="1"/>
      <c r="B908" s="8"/>
      <c r="C908" s="1"/>
    </row>
    <row r="909" spans="1:3" ht="12.75" x14ac:dyDescent="0.2">
      <c r="A909" s="1"/>
      <c r="B909" s="8"/>
      <c r="C909" s="1"/>
    </row>
    <row r="910" spans="1:3" ht="12.75" x14ac:dyDescent="0.2">
      <c r="A910" s="1"/>
      <c r="B910" s="8"/>
      <c r="C910" s="1"/>
    </row>
    <row r="911" spans="1:3" ht="12.75" x14ac:dyDescent="0.2">
      <c r="A911" s="1"/>
      <c r="B911" s="8"/>
      <c r="C911" s="1"/>
    </row>
    <row r="912" spans="1:3" ht="12.75" x14ac:dyDescent="0.2">
      <c r="A912" s="1"/>
      <c r="B912" s="8"/>
      <c r="C912" s="1"/>
    </row>
    <row r="913" spans="1:3" ht="12.75" x14ac:dyDescent="0.2">
      <c r="A913" s="1"/>
      <c r="B913" s="8"/>
      <c r="C913" s="1"/>
    </row>
    <row r="914" spans="1:3" ht="12.75" x14ac:dyDescent="0.2">
      <c r="A914" s="1"/>
      <c r="B914" s="8"/>
      <c r="C914" s="1"/>
    </row>
    <row r="915" spans="1:3" ht="12.75" x14ac:dyDescent="0.2">
      <c r="A915" s="1"/>
      <c r="B915" s="8"/>
      <c r="C915" s="1"/>
    </row>
    <row r="916" spans="1:3" ht="12.75" x14ac:dyDescent="0.2">
      <c r="A916" s="1"/>
      <c r="B916" s="8"/>
      <c r="C916" s="1"/>
    </row>
    <row r="917" spans="1:3" ht="12.75" x14ac:dyDescent="0.2">
      <c r="A917" s="1"/>
      <c r="B917" s="8"/>
      <c r="C917" s="1"/>
    </row>
    <row r="918" spans="1:3" ht="12.75" x14ac:dyDescent="0.2">
      <c r="A918" s="1"/>
      <c r="B918" s="8"/>
      <c r="C918" s="1"/>
    </row>
    <row r="919" spans="1:3" ht="12.75" x14ac:dyDescent="0.2">
      <c r="A919" s="1"/>
      <c r="B919" s="8"/>
      <c r="C919" s="1"/>
    </row>
    <row r="920" spans="1:3" ht="12.75" x14ac:dyDescent="0.2">
      <c r="A920" s="1"/>
      <c r="B920" s="8"/>
      <c r="C920" s="1"/>
    </row>
    <row r="921" spans="1:3" ht="12.75" x14ac:dyDescent="0.2">
      <c r="A921" s="1"/>
      <c r="B921" s="8"/>
      <c r="C921" s="1"/>
    </row>
    <row r="922" spans="1:3" ht="12.75" x14ac:dyDescent="0.2">
      <c r="A922" s="1"/>
      <c r="B922" s="8"/>
      <c r="C922" s="1"/>
    </row>
    <row r="923" spans="1:3" ht="12.75" x14ac:dyDescent="0.2">
      <c r="A923" s="1"/>
      <c r="B923" s="8"/>
      <c r="C923" s="1"/>
    </row>
    <row r="924" spans="1:3" ht="12.75" x14ac:dyDescent="0.2">
      <c r="A924" s="1"/>
      <c r="B924" s="8"/>
      <c r="C924" s="1"/>
    </row>
    <row r="925" spans="1:3" ht="12.75" x14ac:dyDescent="0.2">
      <c r="A925" s="1"/>
      <c r="B925" s="8"/>
      <c r="C925" s="1"/>
    </row>
    <row r="926" spans="1:3" ht="12.75" x14ac:dyDescent="0.2">
      <c r="A926" s="1"/>
      <c r="B926" s="8"/>
      <c r="C926" s="1"/>
    </row>
    <row r="927" spans="1:3" ht="12.75" x14ac:dyDescent="0.2">
      <c r="A927" s="1"/>
      <c r="B927" s="8"/>
      <c r="C927" s="1"/>
    </row>
    <row r="928" spans="1:3" ht="12.75" x14ac:dyDescent="0.2">
      <c r="A928" s="1"/>
      <c r="B928" s="8"/>
      <c r="C928" s="1"/>
    </row>
    <row r="929" spans="1:3" ht="12.75" x14ac:dyDescent="0.2">
      <c r="A929" s="1"/>
      <c r="B929" s="8"/>
      <c r="C929" s="1"/>
    </row>
    <row r="930" spans="1:3" ht="12.75" x14ac:dyDescent="0.2">
      <c r="A930" s="1"/>
      <c r="B930" s="8"/>
      <c r="C930" s="1"/>
    </row>
    <row r="931" spans="1:3" ht="12.75" x14ac:dyDescent="0.2">
      <c r="A931" s="1"/>
      <c r="B931" s="8"/>
      <c r="C931" s="1"/>
    </row>
    <row r="932" spans="1:3" ht="12.75" x14ac:dyDescent="0.2">
      <c r="A932" s="1"/>
      <c r="B932" s="8"/>
      <c r="C932" s="1"/>
    </row>
    <row r="933" spans="1:3" ht="12.75" x14ac:dyDescent="0.2">
      <c r="A933" s="1"/>
      <c r="B933" s="8"/>
      <c r="C933" s="1"/>
    </row>
    <row r="934" spans="1:3" ht="12.75" x14ac:dyDescent="0.2">
      <c r="A934" s="1"/>
      <c r="B934" s="8"/>
      <c r="C934" s="1"/>
    </row>
    <row r="935" spans="1:3" ht="12.75" x14ac:dyDescent="0.2">
      <c r="A935" s="1"/>
      <c r="B935" s="8"/>
      <c r="C935" s="1"/>
    </row>
    <row r="936" spans="1:3" ht="12.75" x14ac:dyDescent="0.2">
      <c r="A936" s="1"/>
      <c r="B936" s="8"/>
      <c r="C936" s="1"/>
    </row>
    <row r="937" spans="1:3" ht="12.75" x14ac:dyDescent="0.2">
      <c r="A937" s="1"/>
      <c r="B937" s="8"/>
      <c r="C937" s="1"/>
    </row>
    <row r="938" spans="1:3" ht="12.75" x14ac:dyDescent="0.2">
      <c r="A938" s="1"/>
      <c r="B938" s="8"/>
      <c r="C938" s="1"/>
    </row>
    <row r="939" spans="1:3" ht="12.75" x14ac:dyDescent="0.2">
      <c r="A939" s="1"/>
      <c r="B939" s="8"/>
      <c r="C939" s="1"/>
    </row>
    <row r="940" spans="1:3" ht="12.75" x14ac:dyDescent="0.2">
      <c r="A940" s="1"/>
      <c r="B940" s="8"/>
      <c r="C940" s="1"/>
    </row>
    <row r="941" spans="1:3" ht="12.75" x14ac:dyDescent="0.2">
      <c r="A941" s="1"/>
      <c r="B941" s="8"/>
      <c r="C941" s="1"/>
    </row>
    <row r="942" spans="1:3" ht="12.75" x14ac:dyDescent="0.2">
      <c r="A942" s="1"/>
      <c r="B942" s="8"/>
      <c r="C942" s="1"/>
    </row>
    <row r="943" spans="1:3" ht="12.75" x14ac:dyDescent="0.2">
      <c r="A943" s="1"/>
      <c r="B943" s="8"/>
      <c r="C943" s="1"/>
    </row>
    <row r="944" spans="1:3" ht="12.75" x14ac:dyDescent="0.2">
      <c r="A944" s="1"/>
      <c r="B944" s="8"/>
      <c r="C944" s="1"/>
    </row>
    <row r="945" spans="1:3" ht="12.75" x14ac:dyDescent="0.2">
      <c r="A945" s="1"/>
      <c r="B945" s="8"/>
      <c r="C945" s="1"/>
    </row>
    <row r="946" spans="1:3" ht="12.75" x14ac:dyDescent="0.2">
      <c r="A946" s="1"/>
      <c r="B946" s="8"/>
      <c r="C946" s="1"/>
    </row>
    <row r="947" spans="1:3" ht="12.75" x14ac:dyDescent="0.2">
      <c r="A947" s="1"/>
      <c r="B947" s="8"/>
      <c r="C947" s="1"/>
    </row>
    <row r="948" spans="1:3" ht="12.75" x14ac:dyDescent="0.2">
      <c r="A948" s="1"/>
      <c r="B948" s="8"/>
      <c r="C948" s="1"/>
    </row>
    <row r="949" spans="1:3" ht="12.75" x14ac:dyDescent="0.2">
      <c r="A949" s="1"/>
      <c r="B949" s="8"/>
      <c r="C949" s="1"/>
    </row>
    <row r="950" spans="1:3" ht="12.75" x14ac:dyDescent="0.2">
      <c r="A950" s="1"/>
      <c r="B950" s="8"/>
      <c r="C950" s="1"/>
    </row>
    <row r="951" spans="1:3" ht="12.75" x14ac:dyDescent="0.2">
      <c r="A951" s="1"/>
      <c r="B951" s="8"/>
      <c r="C951" s="1"/>
    </row>
    <row r="952" spans="1:3" ht="12.75" x14ac:dyDescent="0.2">
      <c r="A952" s="1"/>
      <c r="B952" s="8"/>
      <c r="C952" s="1"/>
    </row>
    <row r="953" spans="1:3" ht="12.75" x14ac:dyDescent="0.2">
      <c r="A953" s="1"/>
      <c r="B953" s="8"/>
      <c r="C953" s="1"/>
    </row>
    <row r="954" spans="1:3" ht="12.75" x14ac:dyDescent="0.2">
      <c r="A954" s="1"/>
      <c r="B954" s="8"/>
      <c r="C954" s="1"/>
    </row>
    <row r="955" spans="1:3" ht="12.75" x14ac:dyDescent="0.2">
      <c r="A955" s="1"/>
      <c r="B955" s="8"/>
      <c r="C955" s="1"/>
    </row>
    <row r="956" spans="1:3" ht="12.75" x14ac:dyDescent="0.2">
      <c r="A956" s="1"/>
      <c r="B956" s="8"/>
      <c r="C956" s="1"/>
    </row>
    <row r="957" spans="1:3" ht="12.75" x14ac:dyDescent="0.2">
      <c r="A957" s="1"/>
      <c r="B957" s="8"/>
      <c r="C957" s="1"/>
    </row>
    <row r="958" spans="1:3" ht="12.75" x14ac:dyDescent="0.2">
      <c r="A958" s="1"/>
      <c r="B958" s="8"/>
      <c r="C958" s="1"/>
    </row>
    <row r="959" spans="1:3" ht="12.75" x14ac:dyDescent="0.2">
      <c r="A959" s="1"/>
      <c r="B959" s="8"/>
      <c r="C959" s="1"/>
    </row>
    <row r="960" spans="1:3" ht="12.75" x14ac:dyDescent="0.2">
      <c r="A960" s="1"/>
      <c r="B960" s="8"/>
      <c r="C960" s="1"/>
    </row>
    <row r="961" spans="1:3" ht="12.75" x14ac:dyDescent="0.2">
      <c r="A961" s="1"/>
      <c r="B961" s="8"/>
      <c r="C961" s="1"/>
    </row>
    <row r="962" spans="1:3" ht="12.75" x14ac:dyDescent="0.2">
      <c r="A962" s="1"/>
      <c r="B962" s="8"/>
      <c r="C962" s="1"/>
    </row>
    <row r="963" spans="1:3" ht="12.75" x14ac:dyDescent="0.2">
      <c r="A963" s="1"/>
      <c r="B963" s="8"/>
      <c r="C963" s="1"/>
    </row>
    <row r="964" spans="1:3" ht="12.75" x14ac:dyDescent="0.2">
      <c r="A964" s="1"/>
      <c r="B964" s="8"/>
      <c r="C964" s="1"/>
    </row>
    <row r="965" spans="1:3" ht="12.75" x14ac:dyDescent="0.2">
      <c r="A965" s="1"/>
      <c r="B965" s="8"/>
      <c r="C965" s="1"/>
    </row>
    <row r="966" spans="1:3" ht="12.75" x14ac:dyDescent="0.2">
      <c r="A966" s="1"/>
      <c r="B966" s="8"/>
      <c r="C966" s="1"/>
    </row>
    <row r="967" spans="1:3" ht="12.75" x14ac:dyDescent="0.2">
      <c r="A967" s="1"/>
      <c r="B967" s="8"/>
      <c r="C967" s="1"/>
    </row>
    <row r="968" spans="1:3" ht="12.75" x14ac:dyDescent="0.2">
      <c r="A968" s="1"/>
      <c r="B968" s="8"/>
      <c r="C968" s="1"/>
    </row>
    <row r="969" spans="1:3" ht="12.75" x14ac:dyDescent="0.2">
      <c r="A969" s="1"/>
      <c r="B969" s="8"/>
      <c r="C969" s="1"/>
    </row>
    <row r="970" spans="1:3" ht="12.75" x14ac:dyDescent="0.2">
      <c r="A970" s="1"/>
      <c r="B970" s="8"/>
      <c r="C970" s="1"/>
    </row>
    <row r="971" spans="1:3" ht="12.75" x14ac:dyDescent="0.2">
      <c r="A971" s="1"/>
      <c r="B971" s="8"/>
      <c r="C971" s="1"/>
    </row>
    <row r="972" spans="1:3" ht="12.75" x14ac:dyDescent="0.2">
      <c r="A972" s="1"/>
      <c r="B972" s="8"/>
      <c r="C972" s="1"/>
    </row>
    <row r="973" spans="1:3" ht="12.75" x14ac:dyDescent="0.2">
      <c r="A973" s="1"/>
      <c r="B973" s="8"/>
      <c r="C973" s="1"/>
    </row>
    <row r="974" spans="1:3" ht="12.75" x14ac:dyDescent="0.2">
      <c r="A974" s="1"/>
      <c r="B974" s="8"/>
      <c r="C974" s="1"/>
    </row>
    <row r="975" spans="1:3" ht="12.75" x14ac:dyDescent="0.2">
      <c r="A975" s="1"/>
      <c r="B975" s="8"/>
      <c r="C975" s="1"/>
    </row>
    <row r="976" spans="1:3" ht="12.75" x14ac:dyDescent="0.2">
      <c r="A976" s="1"/>
      <c r="B976" s="8"/>
      <c r="C976" s="1"/>
    </row>
    <row r="977" spans="1:3" ht="12.75" x14ac:dyDescent="0.2">
      <c r="A977" s="1"/>
      <c r="B977" s="8"/>
      <c r="C977" s="1"/>
    </row>
    <row r="978" spans="1:3" ht="12.75" x14ac:dyDescent="0.2">
      <c r="A978" s="1"/>
      <c r="B978" s="8"/>
      <c r="C978" s="1"/>
    </row>
    <row r="979" spans="1:3" ht="12.75" x14ac:dyDescent="0.2">
      <c r="A979" s="1"/>
      <c r="B979" s="8"/>
      <c r="C979" s="1"/>
    </row>
    <row r="980" spans="1:3" ht="12.75" x14ac:dyDescent="0.2">
      <c r="A980" s="1"/>
      <c r="B980" s="8"/>
      <c r="C980" s="1"/>
    </row>
    <row r="981" spans="1:3" ht="12.75" x14ac:dyDescent="0.2">
      <c r="A981" s="1"/>
      <c r="B981" s="8"/>
      <c r="C981" s="1"/>
    </row>
    <row r="982" spans="1:3" ht="12.75" x14ac:dyDescent="0.2">
      <c r="A982" s="1"/>
      <c r="B982" s="8"/>
      <c r="C982" s="1"/>
    </row>
    <row r="983" spans="1:3" ht="12.75" x14ac:dyDescent="0.2">
      <c r="A983" s="1"/>
      <c r="B983" s="8"/>
      <c r="C983" s="1"/>
    </row>
    <row r="984" spans="1:3" ht="12.75" x14ac:dyDescent="0.2">
      <c r="A984" s="1"/>
      <c r="B984" s="8"/>
      <c r="C984" s="1"/>
    </row>
    <row r="985" spans="1:3" ht="12.75" x14ac:dyDescent="0.2">
      <c r="A985" s="1"/>
      <c r="B985" s="8"/>
      <c r="C985" s="1"/>
    </row>
    <row r="986" spans="1:3" ht="12.75" x14ac:dyDescent="0.2">
      <c r="A986" s="1"/>
      <c r="B986" s="8"/>
      <c r="C986" s="1"/>
    </row>
    <row r="987" spans="1:3" ht="12.75" x14ac:dyDescent="0.2">
      <c r="A987" s="1"/>
      <c r="B987" s="8"/>
      <c r="C987" s="1"/>
    </row>
    <row r="988" spans="1:3" ht="12.75" x14ac:dyDescent="0.2">
      <c r="A988" s="1"/>
      <c r="B988" s="8"/>
      <c r="C988" s="1"/>
    </row>
    <row r="989" spans="1:3" ht="12.75" x14ac:dyDescent="0.2">
      <c r="A989" s="1"/>
      <c r="B989" s="8"/>
      <c r="C989" s="1"/>
    </row>
    <row r="990" spans="1:3" ht="12.75" x14ac:dyDescent="0.2">
      <c r="A990" s="1"/>
      <c r="B990" s="8"/>
      <c r="C990" s="1"/>
    </row>
    <row r="991" spans="1:3" ht="12.75" x14ac:dyDescent="0.2">
      <c r="A991" s="1"/>
      <c r="B991" s="8"/>
      <c r="C991" s="1"/>
    </row>
    <row r="992" spans="1:3" ht="12.75" x14ac:dyDescent="0.2">
      <c r="A992" s="1"/>
      <c r="B992" s="8"/>
      <c r="C992" s="1"/>
    </row>
    <row r="993" spans="1:3" ht="12.75" x14ac:dyDescent="0.2">
      <c r="A993" s="1"/>
      <c r="B993" s="8"/>
      <c r="C993" s="1"/>
    </row>
    <row r="994" spans="1:3" ht="12.75" x14ac:dyDescent="0.2">
      <c r="A994" s="1"/>
      <c r="B994" s="8"/>
      <c r="C994" s="1"/>
    </row>
    <row r="995" spans="1:3" ht="12.75" x14ac:dyDescent="0.2">
      <c r="A995" s="1"/>
      <c r="B995" s="8"/>
      <c r="C995" s="1"/>
    </row>
    <row r="996" spans="1:3" ht="12.75" x14ac:dyDescent="0.2">
      <c r="A996" s="1"/>
      <c r="B996" s="8"/>
      <c r="C996" s="1"/>
    </row>
    <row r="997" spans="1:3" ht="12.75" x14ac:dyDescent="0.2">
      <c r="A997" s="1"/>
      <c r="B997" s="8"/>
      <c r="C997" s="1"/>
    </row>
    <row r="998" spans="1:3" ht="12.75" x14ac:dyDescent="0.2">
      <c r="A998" s="1"/>
      <c r="B998" s="8"/>
      <c r="C998" s="1"/>
    </row>
    <row r="999" spans="1:3" ht="12.75" x14ac:dyDescent="0.2">
      <c r="A999" s="1"/>
      <c r="B999" s="8"/>
      <c r="C999" s="1"/>
    </row>
    <row r="1000" spans="1:3" ht="12.75" x14ac:dyDescent="0.2">
      <c r="A1000" s="1"/>
      <c r="B1000" s="8"/>
      <c r="C1000" s="1"/>
    </row>
  </sheetData>
  <hyperlinks>
    <hyperlink ref="C16" r:id="rId1" display="http://in-events.ru/" xr:uid="{00000000-0004-0000-0200-000000000000}"/>
    <hyperlink ref="C138" r:id="rId2" display="http://seo-reports.ru/" xr:uid="{00000000-0004-0000-02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Программа</vt:lpstr>
      <vt:lpstr>Темы</vt:lpstr>
      <vt:lpstr>Спикеры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FSK304</dc:creator>
  <cp:lastModifiedBy>FSK304</cp:lastModifiedBy>
  <dcterms:created xsi:type="dcterms:W3CDTF">2022-01-24T00:35:30Z</dcterms:created>
  <dcterms:modified xsi:type="dcterms:W3CDTF">2022-01-24T00:35:31Z</dcterms:modified>
</cp:coreProperties>
</file>